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915" windowHeight="11310"/>
  </bookViews>
  <sheets>
    <sheet name="ROPS 14-15A Estimates (ATE)" sheetId="1" r:id="rId1"/>
  </sheets>
  <definedNames>
    <definedName name="_xlnm.Print_Area" localSheetId="0">'ROPS 14-15A Estimates (ATE)'!$A$1:$AE$227</definedName>
    <definedName name="_xlnm.Print_Titles" localSheetId="0">'ROPS 14-15A Estimates (ATE)'!$A:$D</definedName>
  </definedNames>
  <calcPr calcId="145621"/>
</workbook>
</file>

<file path=xl/calcChain.xml><?xml version="1.0" encoding="utf-8"?>
<calcChain xmlns="http://schemas.openxmlformats.org/spreadsheetml/2006/main">
  <c r="Z201" i="1" l="1"/>
  <c r="Y201" i="1"/>
  <c r="X200" i="1"/>
  <c r="X201" i="1"/>
  <c r="S200" i="1"/>
  <c r="S201" i="1"/>
  <c r="R201" i="1"/>
  <c r="K200" i="1"/>
  <c r="J200" i="1"/>
  <c r="G200" i="1"/>
  <c r="AC192" i="1" l="1"/>
  <c r="W192" i="1"/>
  <c r="O192" i="1"/>
  <c r="M192" i="1"/>
  <c r="AA193" i="1"/>
  <c r="X193" i="1"/>
  <c r="AE201" i="1" l="1"/>
  <c r="AE193" i="1"/>
  <c r="AE198" i="1" s="1"/>
  <c r="AD201" i="1"/>
  <c r="AD193" i="1"/>
  <c r="AC201" i="1"/>
  <c r="AC193" i="1"/>
  <c r="AA192" i="1"/>
  <c r="AA198" i="1" s="1"/>
  <c r="Z193" i="1"/>
  <c r="Y193" i="1"/>
  <c r="X192" i="1"/>
  <c r="X198" i="1" s="1"/>
  <c r="W201" i="1"/>
  <c r="W193" i="1"/>
  <c r="V201" i="1"/>
  <c r="V200" i="1"/>
  <c r="V194" i="1"/>
  <c r="V193" i="1"/>
  <c r="E194" i="1"/>
  <c r="V192" i="1"/>
  <c r="U201" i="1"/>
  <c r="U193" i="1"/>
  <c r="T201" i="1"/>
  <c r="T193" i="1"/>
  <c r="R193" i="1"/>
  <c r="Q201" i="1"/>
  <c r="Q193" i="1"/>
  <c r="O201" i="1"/>
  <c r="O193" i="1"/>
  <c r="M201" i="1"/>
  <c r="M200" i="1"/>
  <c r="M194" i="1"/>
  <c r="M193" i="1"/>
  <c r="M198" i="1"/>
  <c r="L201" i="1"/>
  <c r="L193" i="1"/>
  <c r="K193" i="1"/>
  <c r="I201" i="1"/>
  <c r="H201" i="1"/>
  <c r="J194" i="1"/>
  <c r="J193" i="1"/>
  <c r="J192" i="1"/>
  <c r="J198" i="1" s="1"/>
  <c r="I193" i="1"/>
  <c r="H193" i="1"/>
  <c r="H198" i="1"/>
  <c r="G198" i="1"/>
  <c r="I198" i="1"/>
  <c r="K198" i="1"/>
  <c r="L198" i="1"/>
  <c r="N198" i="1"/>
  <c r="O198" i="1"/>
  <c r="P198" i="1"/>
  <c r="Q198" i="1"/>
  <c r="R198" i="1"/>
  <c r="S198" i="1"/>
  <c r="T198" i="1"/>
  <c r="U198" i="1"/>
  <c r="W198" i="1"/>
  <c r="Y198" i="1"/>
  <c r="Z198" i="1"/>
  <c r="AB198" i="1"/>
  <c r="AC198" i="1"/>
  <c r="AD198" i="1"/>
  <c r="F198" i="1"/>
  <c r="V198" i="1" l="1"/>
  <c r="AB201" i="1"/>
  <c r="P201" i="1"/>
  <c r="N201" i="1"/>
  <c r="G201" i="1"/>
  <c r="F201" i="1"/>
  <c r="AC200" i="1"/>
  <c r="AB200" i="1"/>
  <c r="T200" i="1"/>
  <c r="P200" i="1"/>
  <c r="N200" i="1"/>
  <c r="L200" i="1"/>
  <c r="I200" i="1"/>
  <c r="H200" i="1"/>
  <c r="F200" i="1"/>
  <c r="AE192" i="1"/>
  <c r="AE200" i="1" s="1"/>
  <c r="AD192" i="1"/>
  <c r="AD200" i="1" s="1"/>
  <c r="Z192" i="1"/>
  <c r="Z200" i="1" s="1"/>
  <c r="Y192" i="1"/>
  <c r="Y200" i="1" s="1"/>
  <c r="W200" i="1"/>
  <c r="U192" i="1"/>
  <c r="U200" i="1" s="1"/>
  <c r="T192" i="1"/>
  <c r="R192" i="1"/>
  <c r="R200" i="1" s="1"/>
  <c r="Q192" i="1"/>
  <c r="Q200" i="1" s="1"/>
  <c r="O200" i="1"/>
  <c r="L192" i="1"/>
  <c r="K192" i="1"/>
  <c r="I192" i="1"/>
  <c r="H192" i="1"/>
  <c r="AE223" i="1" l="1"/>
  <c r="AD223" i="1"/>
  <c r="AC223" i="1"/>
  <c r="AB223" i="1"/>
  <c r="AA223" i="1"/>
  <c r="Z223" i="1"/>
  <c r="Y223" i="1"/>
  <c r="X223" i="1"/>
  <c r="W223" i="1"/>
  <c r="V223" i="1"/>
  <c r="U223" i="1"/>
  <c r="T223" i="1"/>
  <c r="S223" i="1"/>
  <c r="R223" i="1"/>
  <c r="Q223" i="1"/>
  <c r="P223" i="1"/>
  <c r="O223" i="1"/>
  <c r="N223" i="1"/>
  <c r="M223" i="1"/>
  <c r="L223" i="1"/>
  <c r="K223" i="1"/>
  <c r="J223" i="1"/>
  <c r="I223" i="1"/>
  <c r="H223" i="1"/>
  <c r="G223" i="1"/>
  <c r="F223" i="1"/>
  <c r="AE222" i="1"/>
  <c r="AD222" i="1"/>
  <c r="AC222" i="1"/>
  <c r="AB222" i="1"/>
  <c r="AA222" i="1"/>
  <c r="Z222" i="1"/>
  <c r="Y222" i="1"/>
  <c r="X222" i="1"/>
  <c r="W222" i="1"/>
  <c r="V222" i="1"/>
  <c r="U222" i="1"/>
  <c r="T222" i="1"/>
  <c r="S222" i="1"/>
  <c r="R222" i="1"/>
  <c r="Q222" i="1"/>
  <c r="P222" i="1"/>
  <c r="O222" i="1"/>
  <c r="N222" i="1"/>
  <c r="M222" i="1"/>
  <c r="L222" i="1"/>
  <c r="K222" i="1"/>
  <c r="J222" i="1"/>
  <c r="I222" i="1"/>
  <c r="H222" i="1"/>
  <c r="G222" i="1"/>
  <c r="F222" i="1"/>
  <c r="E221" i="1"/>
  <c r="E220" i="1"/>
  <c r="E219" i="1"/>
  <c r="E218" i="1"/>
  <c r="E217" i="1"/>
  <c r="E216" i="1"/>
  <c r="E215" i="1"/>
  <c r="E214" i="1"/>
  <c r="E213" i="1"/>
  <c r="E212" i="1"/>
  <c r="AA202" i="1"/>
  <c r="K202" i="1"/>
  <c r="E193" i="1"/>
  <c r="E192" i="1"/>
  <c r="AD19" i="1"/>
  <c r="AA19" i="1"/>
  <c r="Z19" i="1"/>
  <c r="V19" i="1"/>
  <c r="S19" i="1"/>
  <c r="R19" i="1"/>
  <c r="P19" i="1"/>
  <c r="N19" i="1"/>
  <c r="K19" i="1"/>
  <c r="J19" i="1"/>
  <c r="F19" i="1"/>
  <c r="E18" i="1"/>
  <c r="E17" i="1"/>
  <c r="AE19" i="1"/>
  <c r="AC19" i="1"/>
  <c r="AB19" i="1"/>
  <c r="Y19" i="1"/>
  <c r="X19" i="1"/>
  <c r="W19" i="1"/>
  <c r="U19" i="1"/>
  <c r="T19" i="1"/>
  <c r="Q19" i="1"/>
  <c r="O19" i="1"/>
  <c r="M19" i="1"/>
  <c r="L19" i="1"/>
  <c r="I19" i="1"/>
  <c r="E16" i="1"/>
  <c r="G19" i="1"/>
  <c r="AB13" i="1"/>
  <c r="Z13" i="1"/>
  <c r="X13" i="1"/>
  <c r="T13" i="1"/>
  <c r="R13" i="1"/>
  <c r="P13" i="1"/>
  <c r="L13" i="1"/>
  <c r="J13" i="1"/>
  <c r="AE13" i="1"/>
  <c r="AD13" i="1"/>
  <c r="AC13" i="1"/>
  <c r="AA13" i="1"/>
  <c r="Y13" i="1"/>
  <c r="W13" i="1"/>
  <c r="V13" i="1"/>
  <c r="U13" i="1"/>
  <c r="S13" i="1"/>
  <c r="Q13" i="1"/>
  <c r="O13" i="1"/>
  <c r="N13" i="1"/>
  <c r="M13" i="1"/>
  <c r="K13" i="1"/>
  <c r="I13" i="1"/>
  <c r="H13" i="1"/>
  <c r="G13" i="1"/>
  <c r="F13" i="1"/>
  <c r="E10" i="1"/>
  <c r="E9" i="1"/>
  <c r="E8" i="1"/>
  <c r="E7" i="1"/>
  <c r="E223" i="1" l="1"/>
  <c r="I224" i="1"/>
  <c r="M224" i="1"/>
  <c r="Q224" i="1"/>
  <c r="U224" i="1"/>
  <c r="Y224" i="1"/>
  <c r="F224" i="1"/>
  <c r="J224" i="1"/>
  <c r="N224" i="1"/>
  <c r="R224" i="1"/>
  <c r="V224" i="1"/>
  <c r="Z224" i="1"/>
  <c r="AD224" i="1"/>
  <c r="I202" i="1"/>
  <c r="M202" i="1"/>
  <c r="Q202" i="1"/>
  <c r="E200" i="1"/>
  <c r="U202" i="1"/>
  <c r="Y202" i="1"/>
  <c r="AC202" i="1"/>
  <c r="G202" i="1"/>
  <c r="O202" i="1"/>
  <c r="S202" i="1"/>
  <c r="W202" i="1"/>
  <c r="AE202" i="1"/>
  <c r="H202" i="1"/>
  <c r="L202" i="1"/>
  <c r="P202" i="1"/>
  <c r="T202" i="1"/>
  <c r="X202" i="1"/>
  <c r="AB202" i="1"/>
  <c r="F202" i="1"/>
  <c r="J202" i="1"/>
  <c r="N202" i="1"/>
  <c r="R202" i="1"/>
  <c r="V202" i="1"/>
  <c r="E198" i="1"/>
  <c r="E222" i="1"/>
  <c r="G224" i="1"/>
  <c r="K224" i="1"/>
  <c r="O224" i="1"/>
  <c r="S224" i="1"/>
  <c r="W224" i="1"/>
  <c r="AA224" i="1"/>
  <c r="AE224" i="1"/>
  <c r="Z202" i="1"/>
  <c r="AD202" i="1"/>
  <c r="H224" i="1"/>
  <c r="L224" i="1"/>
  <c r="P224" i="1"/>
  <c r="T224" i="1"/>
  <c r="X224" i="1"/>
  <c r="AB224" i="1"/>
  <c r="E224" i="1"/>
  <c r="AC224" i="1"/>
  <c r="E31" i="1"/>
  <c r="E35" i="1"/>
  <c r="K45" i="1"/>
  <c r="P45" i="1"/>
  <c r="U45" i="1"/>
  <c r="AA45" i="1"/>
  <c r="I106" i="1"/>
  <c r="T106" i="1"/>
  <c r="AD106" i="1"/>
  <c r="E48" i="1"/>
  <c r="E73" i="1"/>
  <c r="G43" i="1"/>
  <c r="L43" i="1"/>
  <c r="R43" i="1"/>
  <c r="W43" i="1"/>
  <c r="AB43" i="1"/>
  <c r="E23" i="1"/>
  <c r="E27" i="1"/>
  <c r="E39" i="1"/>
  <c r="N106" i="1"/>
  <c r="Y106" i="1"/>
  <c r="E52" i="1"/>
  <c r="H43" i="1"/>
  <c r="N43" i="1"/>
  <c r="S43" i="1"/>
  <c r="X43" i="1"/>
  <c r="AD43" i="1"/>
  <c r="E24" i="1"/>
  <c r="E28" i="1"/>
  <c r="E32" i="1"/>
  <c r="E36" i="1"/>
  <c r="E40" i="1"/>
  <c r="G45" i="1"/>
  <c r="L45" i="1"/>
  <c r="Q45" i="1"/>
  <c r="W45" i="1"/>
  <c r="AB45" i="1"/>
  <c r="J106" i="1"/>
  <c r="P106" i="1"/>
  <c r="U106" i="1"/>
  <c r="Z106" i="1"/>
  <c r="E49" i="1"/>
  <c r="E53" i="1"/>
  <c r="E55" i="1"/>
  <c r="E57" i="1"/>
  <c r="E59" i="1"/>
  <c r="E61" i="1"/>
  <c r="E63" i="1"/>
  <c r="E65" i="1"/>
  <c r="E67" i="1"/>
  <c r="E69" i="1"/>
  <c r="J43" i="1"/>
  <c r="Z43" i="1"/>
  <c r="E29" i="1"/>
  <c r="E33" i="1"/>
  <c r="E37" i="1"/>
  <c r="E41" i="1"/>
  <c r="H45" i="1"/>
  <c r="M45" i="1"/>
  <c r="S45" i="1"/>
  <c r="X45" i="1"/>
  <c r="AC45" i="1"/>
  <c r="F106" i="1"/>
  <c r="E46" i="1"/>
  <c r="L106" i="1"/>
  <c r="Q106" i="1"/>
  <c r="V106" i="1"/>
  <c r="AB106" i="1"/>
  <c r="E50" i="1"/>
  <c r="E71" i="1"/>
  <c r="E75" i="1"/>
  <c r="O43" i="1"/>
  <c r="T43" i="1"/>
  <c r="AE43" i="1"/>
  <c r="E25" i="1"/>
  <c r="F43" i="1"/>
  <c r="E22" i="1"/>
  <c r="K43" i="1"/>
  <c r="P43" i="1"/>
  <c r="V43" i="1"/>
  <c r="AA43" i="1"/>
  <c r="E26" i="1"/>
  <c r="E30" i="1"/>
  <c r="E34" i="1"/>
  <c r="E38" i="1"/>
  <c r="E42" i="1"/>
  <c r="I45" i="1"/>
  <c r="O45" i="1"/>
  <c r="T45" i="1"/>
  <c r="Y45" i="1"/>
  <c r="AE45" i="1"/>
  <c r="H106" i="1"/>
  <c r="M106" i="1"/>
  <c r="R106" i="1"/>
  <c r="X106" i="1"/>
  <c r="AC106" i="1"/>
  <c r="E47" i="1"/>
  <c r="E51" i="1"/>
  <c r="E54" i="1"/>
  <c r="E56" i="1"/>
  <c r="E58" i="1"/>
  <c r="E60" i="1"/>
  <c r="E62" i="1"/>
  <c r="E64" i="1"/>
  <c r="E66" i="1"/>
  <c r="E68" i="1"/>
  <c r="E70" i="1"/>
  <c r="E74" i="1"/>
  <c r="Q133" i="1"/>
  <c r="W133" i="1"/>
  <c r="I43" i="1"/>
  <c r="M43" i="1"/>
  <c r="Q43" i="1"/>
  <c r="U43" i="1"/>
  <c r="Y43" i="1"/>
  <c r="AC43" i="1"/>
  <c r="F45" i="1"/>
  <c r="E44" i="1"/>
  <c r="E45" i="1" s="1"/>
  <c r="J45" i="1"/>
  <c r="N45" i="1"/>
  <c r="R45" i="1"/>
  <c r="V45" i="1"/>
  <c r="Z45" i="1"/>
  <c r="AD45" i="1"/>
  <c r="G106" i="1"/>
  <c r="K106" i="1"/>
  <c r="O106" i="1"/>
  <c r="S106" i="1"/>
  <c r="W106" i="1"/>
  <c r="AA106" i="1"/>
  <c r="AE106" i="1"/>
  <c r="E72" i="1"/>
  <c r="E76" i="1"/>
  <c r="G133" i="1"/>
  <c r="AB133" i="1"/>
  <c r="P160" i="1"/>
  <c r="E95" i="1"/>
  <c r="E99" i="1"/>
  <c r="E103" i="1"/>
  <c r="L133" i="1"/>
  <c r="E77" i="1"/>
  <c r="E78" i="1"/>
  <c r="E79" i="1"/>
  <c r="E80" i="1"/>
  <c r="E81" i="1"/>
  <c r="E82" i="1"/>
  <c r="E83" i="1"/>
  <c r="E84" i="1"/>
  <c r="E85" i="1"/>
  <c r="E86" i="1"/>
  <c r="E87" i="1"/>
  <c r="E88" i="1"/>
  <c r="E89" i="1"/>
  <c r="E90" i="1"/>
  <c r="E91" i="1"/>
  <c r="E92" i="1"/>
  <c r="E93" i="1"/>
  <c r="E96" i="1"/>
  <c r="E100" i="1"/>
  <c r="E104" i="1"/>
  <c r="H133" i="1"/>
  <c r="M133" i="1"/>
  <c r="S133" i="1"/>
  <c r="X133" i="1"/>
  <c r="AC133" i="1"/>
  <c r="E97" i="1"/>
  <c r="E101" i="1"/>
  <c r="E105" i="1"/>
  <c r="I133" i="1"/>
  <c r="O133" i="1"/>
  <c r="T133" i="1"/>
  <c r="Y133" i="1"/>
  <c r="AE133" i="1"/>
  <c r="E94" i="1"/>
  <c r="E98" i="1"/>
  <c r="E102" i="1"/>
  <c r="K133" i="1"/>
  <c r="P133" i="1"/>
  <c r="U133" i="1"/>
  <c r="AA133" i="1"/>
  <c r="F160" i="1"/>
  <c r="E134" i="1"/>
  <c r="T160" i="1"/>
  <c r="F133" i="1"/>
  <c r="E107" i="1"/>
  <c r="J133" i="1"/>
  <c r="N133" i="1"/>
  <c r="R133" i="1"/>
  <c r="V133" i="1"/>
  <c r="Z133" i="1"/>
  <c r="AD133" i="1"/>
  <c r="E108" i="1"/>
  <c r="E109" i="1"/>
  <c r="E110" i="1"/>
  <c r="E111" i="1"/>
  <c r="H160" i="1"/>
  <c r="X160" i="1"/>
  <c r="L160" i="1"/>
  <c r="AB160" i="1"/>
  <c r="I160" i="1"/>
  <c r="M160" i="1"/>
  <c r="Q160" i="1"/>
  <c r="U160" i="1"/>
  <c r="Y160" i="1"/>
  <c r="AC160" i="1"/>
  <c r="E156" i="1"/>
  <c r="J160" i="1"/>
  <c r="N160" i="1"/>
  <c r="R160" i="1"/>
  <c r="V160" i="1"/>
  <c r="Z160" i="1"/>
  <c r="AD160" i="1"/>
  <c r="E135" i="1"/>
  <c r="E136" i="1"/>
  <c r="E137" i="1"/>
  <c r="E138" i="1"/>
  <c r="E139" i="1"/>
  <c r="E140" i="1"/>
  <c r="E141" i="1"/>
  <c r="E142" i="1"/>
  <c r="E143" i="1"/>
  <c r="E112" i="1"/>
  <c r="E113" i="1"/>
  <c r="E114" i="1"/>
  <c r="E115" i="1"/>
  <c r="E116" i="1"/>
  <c r="E117" i="1"/>
  <c r="E118" i="1"/>
  <c r="E119" i="1"/>
  <c r="E120" i="1"/>
  <c r="E121" i="1"/>
  <c r="E122" i="1"/>
  <c r="E123" i="1"/>
  <c r="E124" i="1"/>
  <c r="E125" i="1"/>
  <c r="E126" i="1"/>
  <c r="E127" i="1"/>
  <c r="E128" i="1"/>
  <c r="E129" i="1"/>
  <c r="E130" i="1"/>
  <c r="E131" i="1"/>
  <c r="E132" i="1"/>
  <c r="G160" i="1"/>
  <c r="K160" i="1"/>
  <c r="O160" i="1"/>
  <c r="S160" i="1"/>
  <c r="W160" i="1"/>
  <c r="AA160" i="1"/>
  <c r="AE160" i="1"/>
  <c r="E144" i="1"/>
  <c r="E145" i="1"/>
  <c r="E146" i="1"/>
  <c r="E147" i="1"/>
  <c r="E148" i="1"/>
  <c r="E149" i="1"/>
  <c r="E150" i="1"/>
  <c r="E151" i="1"/>
  <c r="E152" i="1"/>
  <c r="E153" i="1"/>
  <c r="E154" i="1"/>
  <c r="E155" i="1"/>
  <c r="E158" i="1"/>
  <c r="L166" i="1"/>
  <c r="T166" i="1"/>
  <c r="AB166" i="1"/>
  <c r="E159" i="1"/>
  <c r="G166" i="1"/>
  <c r="O166" i="1"/>
  <c r="W166" i="1"/>
  <c r="AE166" i="1"/>
  <c r="H166" i="1"/>
  <c r="P166" i="1"/>
  <c r="X166" i="1"/>
  <c r="E157" i="1"/>
  <c r="K166" i="1"/>
  <c r="S166" i="1"/>
  <c r="AA166" i="1"/>
  <c r="I172" i="1"/>
  <c r="M172" i="1"/>
  <c r="Q172" i="1"/>
  <c r="U172" i="1"/>
  <c r="Y172" i="1"/>
  <c r="AC172" i="1"/>
  <c r="H178" i="1"/>
  <c r="T178" i="1"/>
  <c r="I166" i="1"/>
  <c r="M166" i="1"/>
  <c r="Q166" i="1"/>
  <c r="U166" i="1"/>
  <c r="Y166" i="1"/>
  <c r="AC166" i="1"/>
  <c r="F172" i="1"/>
  <c r="E167" i="1"/>
  <c r="J172" i="1"/>
  <c r="N172" i="1"/>
  <c r="R172" i="1"/>
  <c r="V172" i="1"/>
  <c r="Z172" i="1"/>
  <c r="AD172" i="1"/>
  <c r="J178" i="1"/>
  <c r="X178" i="1"/>
  <c r="F166" i="1"/>
  <c r="E161" i="1"/>
  <c r="J166" i="1"/>
  <c r="N166" i="1"/>
  <c r="R166" i="1"/>
  <c r="V166" i="1"/>
  <c r="Z166" i="1"/>
  <c r="AD166" i="1"/>
  <c r="E162" i="1"/>
  <c r="E163" i="1"/>
  <c r="E164" i="1"/>
  <c r="E165" i="1"/>
  <c r="G172" i="1"/>
  <c r="K172" i="1"/>
  <c r="O172" i="1"/>
  <c r="S172" i="1"/>
  <c r="W172" i="1"/>
  <c r="AA172" i="1"/>
  <c r="AE172" i="1"/>
  <c r="L178" i="1"/>
  <c r="AB178" i="1"/>
  <c r="H172" i="1"/>
  <c r="L172" i="1"/>
  <c r="P172" i="1"/>
  <c r="T172" i="1"/>
  <c r="X172" i="1"/>
  <c r="AB172" i="1"/>
  <c r="F178" i="1"/>
  <c r="E173" i="1"/>
  <c r="P178" i="1"/>
  <c r="E168" i="1"/>
  <c r="E169" i="1"/>
  <c r="E170" i="1"/>
  <c r="E171" i="1"/>
  <c r="G178" i="1"/>
  <c r="K178" i="1"/>
  <c r="O178" i="1"/>
  <c r="S178" i="1"/>
  <c r="W178" i="1"/>
  <c r="AA178" i="1"/>
  <c r="AE178" i="1"/>
  <c r="H184" i="1"/>
  <c r="L184" i="1"/>
  <c r="P184" i="1"/>
  <c r="T184" i="1"/>
  <c r="X184" i="1"/>
  <c r="AB184" i="1"/>
  <c r="E183" i="1"/>
  <c r="I186" i="1"/>
  <c r="O186" i="1"/>
  <c r="T186" i="1"/>
  <c r="Y186" i="1"/>
  <c r="I184" i="1"/>
  <c r="M184" i="1"/>
  <c r="Q184" i="1"/>
  <c r="U184" i="1"/>
  <c r="Y184" i="1"/>
  <c r="AC184" i="1"/>
  <c r="K186" i="1"/>
  <c r="P186" i="1"/>
  <c r="U186" i="1"/>
  <c r="AA186" i="1"/>
  <c r="I178" i="1"/>
  <c r="M178" i="1"/>
  <c r="Q178" i="1"/>
  <c r="U178" i="1"/>
  <c r="Y178" i="1"/>
  <c r="AC178" i="1"/>
  <c r="F184" i="1"/>
  <c r="E179" i="1"/>
  <c r="J184" i="1"/>
  <c r="N184" i="1"/>
  <c r="R184" i="1"/>
  <c r="V184" i="1"/>
  <c r="Z184" i="1"/>
  <c r="AD184" i="1"/>
  <c r="E180" i="1"/>
  <c r="E181" i="1"/>
  <c r="G186" i="1"/>
  <c r="L186" i="1"/>
  <c r="Q186" i="1"/>
  <c r="W186" i="1"/>
  <c r="AB186" i="1"/>
  <c r="N178" i="1"/>
  <c r="R178" i="1"/>
  <c r="V178" i="1"/>
  <c r="Z178" i="1"/>
  <c r="AD178" i="1"/>
  <c r="E174" i="1"/>
  <c r="E175" i="1"/>
  <c r="E176" i="1"/>
  <c r="E177" i="1"/>
  <c r="G184" i="1"/>
  <c r="K184" i="1"/>
  <c r="O184" i="1"/>
  <c r="S184" i="1"/>
  <c r="W184" i="1"/>
  <c r="AA184" i="1"/>
  <c r="AE184" i="1"/>
  <c r="E182" i="1"/>
  <c r="H186" i="1"/>
  <c r="M186" i="1"/>
  <c r="S186" i="1"/>
  <c r="X186" i="1"/>
  <c r="AC186" i="1"/>
  <c r="AE186" i="1"/>
  <c r="F186" i="1"/>
  <c r="E185" i="1"/>
  <c r="E186" i="1" s="1"/>
  <c r="J186" i="1"/>
  <c r="N186" i="1"/>
  <c r="R186" i="1"/>
  <c r="V186" i="1"/>
  <c r="Z186" i="1"/>
  <c r="AD186" i="1"/>
  <c r="H19" i="1"/>
  <c r="E11" i="1"/>
  <c r="E13" i="1" s="1"/>
  <c r="E201" i="1"/>
  <c r="E202" i="1" l="1"/>
  <c r="M187" i="1"/>
  <c r="M188" i="1" s="1"/>
  <c r="M190" i="1" s="1"/>
  <c r="M205" i="1" s="1"/>
  <c r="I187" i="1"/>
  <c r="I188" i="1" s="1"/>
  <c r="I190" i="1" s="1"/>
  <c r="I203" i="1" s="1"/>
  <c r="U187" i="1"/>
  <c r="U188" i="1" s="1"/>
  <c r="U190" i="1" s="1"/>
  <c r="U203" i="1" s="1"/>
  <c r="AC187" i="1"/>
  <c r="AC188" i="1" s="1"/>
  <c r="AC190" i="1" s="1"/>
  <c r="AC203" i="1" s="1"/>
  <c r="N187" i="1"/>
  <c r="N188" i="1" s="1"/>
  <c r="N190" i="1" s="1"/>
  <c r="N205" i="1" s="1"/>
  <c r="J187" i="1"/>
  <c r="J188" i="1" s="1"/>
  <c r="J190" i="1" s="1"/>
  <c r="J205" i="1" s="1"/>
  <c r="P187" i="1"/>
  <c r="P188" i="1" s="1"/>
  <c r="P190" i="1" s="1"/>
  <c r="P205" i="1" s="1"/>
  <c r="AD187" i="1"/>
  <c r="AD188" i="1" s="1"/>
  <c r="AD190" i="1" s="1"/>
  <c r="AD205" i="1" s="1"/>
  <c r="H187" i="1"/>
  <c r="H188" i="1" s="1"/>
  <c r="H190" i="1" s="1"/>
  <c r="F187" i="1"/>
  <c r="F188" i="1" s="1"/>
  <c r="F190" i="1" s="1"/>
  <c r="AA187" i="1"/>
  <c r="AA188" i="1" s="1"/>
  <c r="AA190" i="1" s="1"/>
  <c r="AA205" i="1" s="1"/>
  <c r="W187" i="1"/>
  <c r="W188" i="1" s="1"/>
  <c r="W190" i="1" s="1"/>
  <c r="W203" i="1" s="1"/>
  <c r="K187" i="1"/>
  <c r="K188" i="1" s="1"/>
  <c r="K190" i="1" s="1"/>
  <c r="K203" i="1" s="1"/>
  <c r="X187" i="1"/>
  <c r="X188" i="1" s="1"/>
  <c r="X190" i="1" s="1"/>
  <c r="X203" i="1" s="1"/>
  <c r="S187" i="1"/>
  <c r="S188" i="1" s="1"/>
  <c r="S190" i="1" s="1"/>
  <c r="S203" i="1" s="1"/>
  <c r="Y187" i="1"/>
  <c r="Y188" i="1" s="1"/>
  <c r="Y190" i="1" s="1"/>
  <c r="Y203" i="1" s="1"/>
  <c r="V187" i="1"/>
  <c r="V188" i="1" s="1"/>
  <c r="V190" i="1" s="1"/>
  <c r="V203" i="1" s="1"/>
  <c r="O187" i="1"/>
  <c r="O188" i="1" s="1"/>
  <c r="O190" i="1" s="1"/>
  <c r="O203" i="1" s="1"/>
  <c r="AB187" i="1"/>
  <c r="AB188" i="1" s="1"/>
  <c r="AB190" i="1" s="1"/>
  <c r="AB203" i="1" s="1"/>
  <c r="G187" i="1"/>
  <c r="G188" i="1" s="1"/>
  <c r="G190" i="1" s="1"/>
  <c r="G203" i="1" s="1"/>
  <c r="AE187" i="1"/>
  <c r="AE188" i="1" s="1"/>
  <c r="AE190" i="1" s="1"/>
  <c r="AE203" i="1" s="1"/>
  <c r="R187" i="1"/>
  <c r="R188" i="1" s="1"/>
  <c r="R190" i="1" s="1"/>
  <c r="R205" i="1" s="1"/>
  <c r="T187" i="1"/>
  <c r="T188" i="1" s="1"/>
  <c r="T190" i="1" s="1"/>
  <c r="T205" i="1" s="1"/>
  <c r="Z187" i="1"/>
  <c r="Z188" i="1" s="1"/>
  <c r="Z190" i="1" s="1"/>
  <c r="Z205" i="1" s="1"/>
  <c r="L187" i="1"/>
  <c r="L188" i="1" s="1"/>
  <c r="L190" i="1" s="1"/>
  <c r="L203" i="1" s="1"/>
  <c r="Q187" i="1"/>
  <c r="Q188" i="1" s="1"/>
  <c r="Q190" i="1" s="1"/>
  <c r="Q203" i="1" s="1"/>
  <c r="E19" i="1"/>
  <c r="E178" i="1"/>
  <c r="E160" i="1"/>
  <c r="E106" i="1"/>
  <c r="E172" i="1"/>
  <c r="E133" i="1"/>
  <c r="E184" i="1"/>
  <c r="E166" i="1"/>
  <c r="E43" i="1"/>
  <c r="AC205" i="1" l="1"/>
  <c r="I205" i="1"/>
  <c r="U205" i="1"/>
  <c r="P203" i="1"/>
  <c r="J203" i="1"/>
  <c r="M203" i="1"/>
  <c r="N203" i="1"/>
  <c r="AA203" i="1"/>
  <c r="S205" i="1"/>
  <c r="X205" i="1"/>
  <c r="AD203" i="1"/>
  <c r="Y205" i="1"/>
  <c r="W205" i="1"/>
  <c r="G205" i="1"/>
  <c r="K205" i="1"/>
  <c r="V205" i="1"/>
  <c r="AB205" i="1"/>
  <c r="T203" i="1"/>
  <c r="O205" i="1"/>
  <c r="E187" i="1"/>
  <c r="R203" i="1"/>
  <c r="AE205" i="1"/>
  <c r="L205" i="1"/>
  <c r="Z203" i="1"/>
  <c r="Q205" i="1"/>
  <c r="H203" i="1"/>
  <c r="H205" i="1"/>
  <c r="F205" i="1"/>
  <c r="E190" i="1"/>
  <c r="F203" i="1"/>
  <c r="E188" i="1"/>
  <c r="E203" i="1" l="1"/>
  <c r="E205" i="1"/>
</calcChain>
</file>

<file path=xl/sharedStrings.xml><?xml version="1.0" encoding="utf-8"?>
<sst xmlns="http://schemas.openxmlformats.org/spreadsheetml/2006/main" count="589" uniqueCount="370">
  <si>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</si>
  <si>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 xml:space="preserve">County : </t>
    </r>
    <r>
      <rPr>
        <sz val="10"/>
        <rFont val="Arial"/>
        <family val="2"/>
      </rPr>
      <t>San Bernardino</t>
    </r>
  </si>
  <si>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</si>
  <si>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</si>
  <si>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</si>
  <si>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</si>
  <si>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</si>
  <si>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</si>
  <si>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</si>
  <si>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</si>
  <si>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</si>
  <si>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</si>
  <si>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</si>
  <si>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</si>
  <si>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</si>
  <si>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</si>
  <si>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</si>
  <si>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</si>
  <si>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</si>
  <si>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</si>
  <si>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</si>
  <si>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</si>
  <si>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</si>
  <si>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</si>
  <si>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</si>
  <si>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</si>
  <si>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</si>
  <si>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</si>
  <si>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</si>
  <si>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</si>
  <si>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</si>
  <si>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</si>
  <si>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</si>
  <si>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</si>
  <si>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 Lake</t>
  </si>
  <si>
    <t>Chino</t>
  </si>
  <si>
    <t>Colton</t>
  </si>
  <si>
    <t>Fontana</t>
  </si>
  <si>
    <t>Grand Terrace</t>
  </si>
  <si>
    <t>Hesperia</t>
  </si>
  <si>
    <t>Highland</t>
  </si>
  <si>
    <t>IVDA</t>
  </si>
  <si>
    <t>Loma Linda</t>
  </si>
  <si>
    <t>Montclair</t>
  </si>
  <si>
    <t>Needles</t>
  </si>
  <si>
    <t>Ontario</t>
  </si>
  <si>
    <t>Rancho Cucamonga</t>
  </si>
  <si>
    <t>Redlands</t>
  </si>
  <si>
    <t>Rialto</t>
  </si>
  <si>
    <t>City of San Bernardino</t>
  </si>
  <si>
    <t>County of San Bernardino</t>
  </si>
  <si>
    <t>Twentynine Palms</t>
  </si>
  <si>
    <t>Upland</t>
  </si>
  <si>
    <t>Victorville</t>
  </si>
  <si>
    <t>VVEDA</t>
  </si>
  <si>
    <t>Yucaipa</t>
  </si>
  <si>
    <t>Yucca Valley</t>
  </si>
  <si>
    <t>RPTTF Deposits (Note that entering the deposits by source is optional):</t>
  </si>
  <si>
    <t>Secured &amp; Unsecured Property Tax Increment (TI)</t>
  </si>
  <si>
    <t>Supplemental &amp; Unitary Property TI</t>
  </si>
  <si>
    <t>Interest Earnings/Other</t>
  </si>
  <si>
    <t>Penalty Assessments</t>
  </si>
  <si>
    <t>Total RPTTF Deposits</t>
  </si>
  <si>
    <t>Total RPTTF Balance Available to Fund CAC Administration and Passthroughs</t>
  </si>
  <si>
    <t>Administrative Distributions-</t>
  </si>
  <si>
    <t>Administrative Fees to CAC</t>
  </si>
  <si>
    <t>SB 2557 Administration Fees</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</si>
  <si>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</si>
  <si>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</si>
  <si>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</si>
  <si>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</si>
  <si>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</si>
  <si>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</si>
  <si>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</si>
  <si>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</si>
  <si>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</si>
  <si>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</si>
  <si>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</si>
  <si>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</si>
  <si>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</si>
  <si>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</si>
  <si>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</si>
  <si>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</si>
  <si>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</si>
  <si>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</si>
  <si>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</si>
  <si>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</si>
  <si>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</si>
  <si>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</si>
  <si>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</si>
  <si>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</si>
  <si>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</si>
  <si>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</si>
  <si>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Passthrough Payments</t>
  </si>
  <si>
    <t>County</t>
  </si>
  <si>
    <t>AB01-GA01</t>
  </si>
  <si>
    <t>County Passthrough Payments</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</si>
  <si>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</si>
  <si>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</si>
  <si>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</si>
  <si>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</si>
  <si>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</si>
  <si>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</si>
  <si>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</si>
  <si>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</si>
  <si>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</si>
  <si>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</si>
  <si>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</si>
  <si>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</si>
  <si>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</si>
  <si>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</si>
  <si>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</si>
  <si>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</si>
  <si>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</si>
  <si>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</si>
  <si>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</si>
  <si>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UD44-GA01</t>
  </si>
  <si>
    <t>UD50-GA01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</si>
  <si>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</si>
  <si>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</si>
  <si>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</si>
  <si>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</si>
  <si>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</si>
  <si>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</si>
  <si>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</si>
  <si>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</si>
  <si>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</si>
  <si>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</si>
  <si>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</si>
  <si>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</si>
  <si>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</si>
  <si>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</si>
  <si>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</si>
  <si>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</si>
  <si>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</si>
  <si>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</si>
  <si>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</si>
  <si>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</si>
  <si>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</si>
  <si>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</si>
  <si>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</si>
  <si>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</si>
  <si>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</si>
  <si>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</si>
  <si>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</si>
  <si>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</si>
  <si>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</si>
  <si>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</si>
  <si>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</si>
  <si>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</si>
  <si>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</si>
  <si>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</si>
  <si>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</si>
  <si>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</si>
  <si>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</si>
  <si>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</si>
  <si>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</si>
  <si>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</si>
  <si>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</si>
  <si>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</si>
  <si>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</si>
  <si>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</si>
  <si>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</si>
  <si>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</si>
  <si>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</si>
  <si>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</si>
  <si>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</si>
  <si>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</si>
  <si>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</si>
  <si>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</si>
  <si>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</si>
  <si>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</si>
  <si>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</si>
  <si>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</si>
  <si>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</si>
  <si>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</si>
  <si>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</si>
  <si>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</si>
  <si>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</si>
  <si>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</si>
  <si>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</si>
  <si>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</si>
  <si>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</si>
  <si>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</si>
  <si>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</si>
  <si>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</si>
  <si>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School Passthrough Payments - Tax Portion</t>
  </si>
  <si>
    <t>K-12 Fac</t>
  </si>
  <si>
    <t>K-12 School Passthrough Payments - Facilities Portion</t>
  </si>
  <si>
    <t>Comm Coll Tax</t>
  </si>
  <si>
    <t>SC10-GA01</t>
  </si>
  <si>
    <t>SC16-GA01</t>
  </si>
  <si>
    <t>SC18-GA01</t>
  </si>
  <si>
    <t>SC54-GA01</t>
  </si>
  <si>
    <t>SC66-GA01</t>
  </si>
  <si>
    <t>Community College Passthrough Payments - Tax Portion</t>
  </si>
  <si>
    <t>Comm Coll Fac</t>
  </si>
  <si>
    <t>Community College Passthrough Payments - Facilities Portion</t>
  </si>
  <si>
    <t>COE Tax</t>
  </si>
  <si>
    <t>BS01-GA01</t>
  </si>
  <si>
    <t>BS01-GA02</t>
  </si>
  <si>
    <t>BS01-GA03</t>
  </si>
  <si>
    <t>BS01-GA04</t>
  </si>
  <si>
    <t>BS01-GA05</t>
  </si>
  <si>
    <t>County Office of Education - Tax Portion</t>
  </si>
  <si>
    <t>COE Fac</t>
  </si>
  <si>
    <t>County Office of Education - Facilities Portion</t>
  </si>
  <si>
    <t>ERAF</t>
  </si>
  <si>
    <t>AB02-GA01</t>
  </si>
  <si>
    <t>Education Revenue Augmentation Fund (ERAF)</t>
  </si>
  <si>
    <r>
      <t xml:space="preserve">Formula check to determine whether the lesser of the total Finance approved ROPS RPTTF (line 39) or the total RPTTF balance available to fund EOs (line 34) was allocated to the SA </t>
    </r>
    <r>
      <rPr>
        <sz val="10"/>
        <color indexed="10"/>
        <rFont val="Arial"/>
        <family val="2"/>
      </rPr>
      <t>(Note that positive amounts suggest that the SAs received too much RPTTF and negative amounts suggest that the SAs did not receive enought RPTTF. Please explain all amounts shown on line 44 in the comments section (line 62).)</t>
    </r>
  </si>
  <si>
    <t>Cities</t>
  </si>
  <si>
    <t>Counties</t>
  </si>
  <si>
    <t>Special Districts</t>
  </si>
  <si>
    <t>K-12 Schools</t>
  </si>
  <si>
    <t xml:space="preserve">Community Colleges  </t>
  </si>
  <si>
    <t xml:space="preserve">County Office of Education  </t>
  </si>
  <si>
    <t>ERAF - K-12</t>
  </si>
  <si>
    <t>ERAF - Community Colleges</t>
  </si>
  <si>
    <t>ERAF - County Offices of Education</t>
  </si>
  <si>
    <t>Percentage of Residual Distributions to K-14 Schools</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</si>
  <si>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</si>
  <si>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</si>
  <si>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</si>
  <si>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</si>
  <si>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</si>
  <si>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</si>
  <si>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</si>
  <si>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</si>
  <si>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</si>
  <si>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</si>
  <si>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</si>
  <si>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</si>
  <si>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</si>
  <si>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</si>
  <si>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</si>
  <si>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</si>
  <si>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</si>
  <si>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</si>
  <si>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</si>
  <si>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</si>
  <si>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</si>
  <si>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</si>
  <si>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</si>
  <si>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</si>
  <si>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</si>
  <si>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</si>
  <si>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</si>
  <si>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</si>
  <si>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</si>
  <si>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</si>
  <si>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</si>
  <si>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</si>
  <si>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</si>
  <si>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</si>
  <si>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</si>
  <si>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</si>
  <si>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</si>
  <si>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</si>
  <si>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</si>
  <si>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</si>
  <si>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60 - VICTORVILLE</t>
  </si>
  <si>
    <t>CSA 70</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</si>
  <si>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</si>
  <si>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</si>
  <si>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</si>
  <si>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</si>
  <si>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</si>
  <si>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</si>
  <si>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</si>
  <si>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</si>
  <si>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</si>
  <si>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</si>
  <si>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</si>
  <si>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</si>
  <si>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</si>
  <si>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</si>
  <si>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</si>
  <si>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</si>
  <si>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</si>
  <si>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</si>
  <si>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</si>
  <si>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</si>
  <si>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</si>
  <si>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</si>
  <si>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</si>
  <si>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</si>
  <si>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</si>
  <si>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</si>
  <si>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</si>
  <si>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</si>
  <si>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</si>
  <si>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</si>
  <si>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</si>
  <si>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</si>
  <si>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</si>
  <si>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</si>
  <si>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</si>
  <si>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</si>
  <si>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</si>
  <si>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</si>
  <si>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</si>
  <si>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</si>
  <si>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</si>
  <si>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</si>
  <si>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</si>
  <si>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</si>
  <si>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</si>
  <si>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</si>
  <si>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</si>
  <si>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</si>
  <si>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</si>
  <si>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</si>
  <si>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</si>
  <si>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</si>
  <si>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</si>
  <si>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</si>
  <si>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</si>
  <si>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</si>
  <si>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</si>
  <si>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</si>
  <si>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</si>
  <si>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</si>
  <si>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</si>
  <si>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</si>
  <si>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</si>
  <si>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</si>
  <si>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</si>
  <si>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</si>
  <si>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</si>
  <si>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</si>
  <si>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</si>
  <si>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</si>
  <si>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</si>
  <si>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</si>
  <si>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</si>
  <si>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</si>
  <si>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</si>
  <si>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</si>
  <si>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</si>
  <si>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r>
      <t>Allocation Period:</t>
    </r>
    <r>
      <rPr>
        <sz val="10"/>
        <rFont val="Arial"/>
        <family val="2"/>
      </rPr>
      <t xml:space="preserve"> July 2014 - December 2014</t>
    </r>
  </si>
  <si>
    <r>
      <t>Estimated ROPS Redevelopment Property Tax Trust Fund (RPTTF) Allocation Cycle:</t>
    </r>
    <r>
      <rPr>
        <sz val="10"/>
        <rFont val="Arial"/>
        <family val="2"/>
      </rPr>
      <t xml:space="preserve"> 14-15A</t>
    </r>
  </si>
  <si>
    <r>
      <t xml:space="preserve">Comments:
</t>
    </r>
    <r>
      <rPr>
        <b/>
        <sz val="10"/>
        <rFont val="Arial"/>
        <family val="2"/>
      </rPr>
      <t>Revenue estimates are conservative and include an additional 6% delinquency factor to account for additional refunds, assessor corrections, appeals, negative supplemental and delinquencies. In addition to this estimate report agencies should utilize their own historical revenue trends to assess if an insufficient funds notice should be submitted prior to May 1, 2014.</t>
    </r>
  </si>
  <si>
    <t>ROPS Estimates are per the Agency-submitted ROPS, less proposed CAC submitted prior period adjustments.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</si>
  <si>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</si>
  <si>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Total Administrative and Passthrough Distributions (sum of lines 13 and 25)</t>
  </si>
  <si>
    <t>Total RPTTF Balance Available to Fund Successor Agency (SA) Enforceable Obligations (EOs) (lines 6 - 26)</t>
  </si>
  <si>
    <r>
      <t>Finance Approved RPTTF for Distribution -</t>
    </r>
    <r>
      <rPr>
        <sz val="10"/>
        <rFont val="Arial"/>
        <family val="2"/>
      </rPr>
      <t xml:space="preserve"> Include the total RPTTF approved for SA non-admin and admin costs, and prior period adjustments (PPAs), which can be found on the ROPS determination or ROPS meet-and-confer letters issued by Finance. </t>
    </r>
    <r>
      <rPr>
        <b/>
        <sz val="10"/>
        <rFont val="Arial"/>
        <family val="2"/>
      </rPr>
      <t>RPTTF Withholdings</t>
    </r>
    <r>
      <rPr>
        <sz val="10"/>
        <rFont val="Arial"/>
        <family val="2"/>
      </rPr>
      <t xml:space="preserve"> - If you receive a RPTTF withholding letter from Finance, you will include the withholding amounts by Due Diligence Review (DDR) process, as indicated in the letter, on lines 33 and 34. Note that CACs should first apply the withholding to the Low and Moderate Income Housing Fund (LMIHF) balance and then apply the remaining withholding to the Other Funds and Assets (OFA) balance. Also note that the following withheld amounts should be reported on the respective LMIHF and OFA actuals reports and distributed to the affected taxing entities (ATEs) accordingly.</t>
    </r>
  </si>
  <si>
    <t>Less PPAs - Amount should be entered as a negative number.</t>
  </si>
  <si>
    <t>Less RPTTF Withholding:</t>
  </si>
  <si>
    <t>LMIHF - Amount should be entered as a negative number.</t>
  </si>
  <si>
    <t>OFA - Amount should be entered as a negative number.</t>
  </si>
  <si>
    <r>
      <t xml:space="preserve">CAC Distributed ROPS RPTTF- </t>
    </r>
    <r>
      <rPr>
        <sz val="10"/>
        <rFont val="Arial"/>
        <family val="2"/>
      </rPr>
      <t xml:space="preserve">CACs should first apply the negative PPA and RPTTF withholding amounts to the non-admin distributions and then apply the balances to the admin distributions if necessary. </t>
    </r>
  </si>
  <si>
    <t xml:space="preserve">Non-Admin EOs </t>
  </si>
  <si>
    <t xml:space="preserve">Admin EOs </t>
  </si>
  <si>
    <t xml:space="preserve">Net ROPS 13-14 and DDR Withholding RPTTF Balance Available for Distribution to ATEs (line 27 - 39) </t>
  </si>
  <si>
    <r>
      <rPr>
        <b/>
        <sz val="10"/>
        <color theme="1"/>
        <rFont val="Arial"/>
        <family val="2"/>
      </rPr>
      <t>Less RPTTF Withholdings -</t>
    </r>
    <r>
      <rPr>
        <sz val="10"/>
        <color theme="1"/>
        <rFont val="Arial"/>
        <family val="2"/>
      </rPr>
      <t xml:space="preserve"> The following withheld amounts should be reported on the respective LMIHF and OFA actuals reports and distributed to the affected taxing entities (ATEs) accordingly. </t>
    </r>
  </si>
  <si>
    <t xml:space="preserve">LMIHF - CACs should report these distributions to the ATEs on the LMIHF actuals report form. Amount should be equal to or less than the amount shown on line 33.  Amount should be entered as a negative number. </t>
  </si>
  <si>
    <t xml:space="preserve">OFA - CACs should report these distributions to the ATEs on the OFA actuals report form. Amount should be equal to or less than the amount shown on line 34. Amount should be entered as a negative number. </t>
  </si>
  <si>
    <t>Total Actual RPTTF Withholdings (sum of lines 43 and 44)</t>
  </si>
  <si>
    <r>
      <rPr>
        <b/>
        <sz val="10"/>
        <color theme="1"/>
        <rFont val="Arial"/>
        <family val="2"/>
      </rPr>
      <t xml:space="preserve">Total ROPS 13-14B Only RPTTF Balance Available for Distribution to ATEs (line 41 + 45) </t>
    </r>
    <r>
      <rPr>
        <sz val="10"/>
        <color theme="1"/>
        <rFont val="Arial"/>
        <family val="2"/>
      </rPr>
      <t xml:space="preserve">- Excludes RPTTF withholding residuals paid to the ATEs as shown on line 45. </t>
    </r>
  </si>
  <si>
    <r>
      <t xml:space="preserve">RPTTF Distributions to ATEs - </t>
    </r>
    <r>
      <rPr>
        <sz val="10"/>
        <rFont val="Arial"/>
        <family val="2"/>
      </rPr>
      <t>Payments pursuant to H&amp;S Section 34183(a)(4). Include the effect of "haircutting" pursuant to H&amp;S Section 34188. Note that the totals on lines 46 and 58 need to match. Positive or negative amounts shown on line 40 should be considered and/or corrected before the funds shown on line 46 are distributed to the ATEs.</t>
    </r>
  </si>
  <si>
    <t>Total CAC Distributed RPTTF for SA EOs  (sum of lines 37 and 38)</t>
  </si>
  <si>
    <t>SCO Invoices for Audit and Oversight (Funding should only be allocated for this purpose when there is sufficent RPTTF to fully fund the approved enforceable obligations as shown on line 35</t>
  </si>
  <si>
    <t>Total Administrative Distributions (Sum of lines 10:12)</t>
  </si>
  <si>
    <t>Total Passthrough Distributions (Sum of lines 15:24)</t>
  </si>
  <si>
    <t>Total Finance Approved RPTTF for Distribution (sum of lines 29:34)</t>
  </si>
  <si>
    <t>Total ERAF - Please break out the ERAF amounts into the following categories if possible. (sum of lines 55:57)</t>
  </si>
  <si>
    <r>
      <t xml:space="preserve">Total RPTTF Distributions to ATEs (sum of lines 48:54) - </t>
    </r>
    <r>
      <rPr>
        <sz val="10"/>
        <rFont val="Arial"/>
        <family val="2"/>
      </rPr>
      <t>Total residual distributions must equal the total residual balance as shown on line 46.</t>
    </r>
  </si>
  <si>
    <t>Total Residual Distributions to K-14 Schools (sum of lines 51:54):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</si>
</sst>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0.0%"/>
    <numFmt numFmtId="165" formatCode="_(* #,##0_);_(* \(#,##0\);_(* &quot;-&quot;??_);_(@_)"/>
  </numFmts>
  <fonts count="14" x14ac:knownFonts="1">
    <font>
      <sz val="11"/>
      <color theme="1"/>
      <name val="Calibri"/>
      <family val="2"/>
      <scheme val="minor"/>
    </font>
    <font>
      <sz val="10"/>
      <name val="Arial"/>
      <family val="2"/>
    </font>
    <font>
      <b/>
      <sz val="12"/>
      <name val="Arial"/>
      <family val="2"/>
    </font>
    <font>
      <b/>
      <sz val="10"/>
      <name val="Arial"/>
      <family val="2"/>
    </font>
    <font>
      <sz val="8"/>
      <name val="Arial"/>
      <family val="2"/>
    </font>
    <font>
      <i/>
      <sz val="10"/>
      <name val="Arial"/>
      <family val="2"/>
    </font>
    <font>
      <sz val="9"/>
      <name val="Arial"/>
      <family val="2"/>
    </font>
    <font>
      <b/>
      <sz val="9"/>
      <name val="Arial"/>
      <family val="2"/>
    </font>
    <font>
      <b/>
      <sz val="10"/>
      <color rgb="FFFF0000"/>
      <name val="Arial"/>
      <family val="2"/>
    </font>
    <font>
      <sz val="10"/>
      <color indexed="10"/>
      <name val="Arial"/>
      <family val="2"/>
    </font>
    <font>
      <b/>
      <sz val="10"/>
      <color rgb="FFC00000"/>
      <name val="Arial"/>
      <family val="2"/>
    </font>
    <font>
      <sz val="10"/>
      <color rgb="FFC00000"/>
      <name val="Arial"/>
      <family val="2"/>
    </font>
    <font>
      <sz val="10"/>
      <color theme="1"/>
      <name val="Arial"/>
      <family val="2"/>
    </font>
    <font>
      <b/>
      <sz val="10"/>
      <color theme="1"/>
      <name val="Arial"/>
      <family val="2"/>
    </font>
  </fonts>
  <fills count="9">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2"/>
        <bgColor indexed="64"/>
      </patternFill>
    </fill>
  </fills>
  <borders count="4">
    <border>
      <left/>
      <right/>
      <top/>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75">
    <xf numFmtId="0" fontId="0" fillId="0" borderId="0" xfId="0"/>
    <xf numFmtId="0" fontId="3" fillId="0" borderId="3" xfId="0" applyFont="1" applyFill="1" applyBorder="1" applyAlignment="1">
      <alignment wrapText="1"/>
    </xf>
    <xf numFmtId="0" fontId="8" fillId="0" borderId="0" xfId="0" applyFont="1" applyFill="1" applyBorder="1" applyAlignment="1">
      <alignment horizontal="left" vertical="top" wrapText="1"/>
    </xf>
    <xf numFmtId="0" fontId="3" fillId="0" borderId="0" xfId="0" applyFont="1" applyFill="1" applyAlignment="1">
      <alignment horizontal="left"/>
    </xf>
    <xf numFmtId="0" fontId="3" fillId="0" borderId="0" xfId="0" applyFont="1" applyAlignment="1">
      <alignment horizontal="left"/>
    </xf>
    <xf numFmtId="0" fontId="1" fillId="0" borderId="0" xfId="0" applyFont="1" applyAlignment="1">
      <alignment horizontal="center" wrapText="1"/>
    </xf>
    <xf numFmtId="0" fontId="1" fillId="0" borderId="0" xfId="0" applyFont="1" applyAlignment="1">
      <alignment horizontal="center"/>
    </xf>
    <xf numFmtId="0" fontId="1" fillId="0" borderId="0" xfId="0" applyFont="1" applyAlignment="1">
      <alignment wrapText="1"/>
    </xf>
    <xf numFmtId="0" fontId="1" fillId="0" borderId="0" xfId="0" applyFont="1" applyAlignment="1"/>
    <xf numFmtId="0" fontId="3" fillId="0" borderId="0" xfId="0" applyFont="1" applyFill="1" applyAlignment="1"/>
    <xf numFmtId="0" fontId="4" fillId="0" borderId="0" xfId="0" applyFont="1" applyFill="1" applyAlignment="1">
      <alignment horizontal="center"/>
    </xf>
    <xf numFmtId="0" fontId="3" fillId="0" borderId="0" xfId="0" applyFont="1" applyAlignment="1">
      <alignment horizontal="center"/>
    </xf>
    <xf numFmtId="41" fontId="3" fillId="0" borderId="0" xfId="0" applyNumberFormat="1" applyFont="1" applyBorder="1" applyAlignment="1">
      <alignment horizontal="center"/>
    </xf>
    <xf numFmtId="41" fontId="3" fillId="0" borderId="0" xfId="0" applyNumberFormat="1" applyFont="1" applyFill="1" applyBorder="1" applyAlignment="1">
      <alignment horizontal="center" wrapText="1"/>
    </xf>
    <xf numFmtId="0" fontId="1" fillId="0" borderId="0" xfId="0" applyFont="1" applyFill="1" applyAlignment="1">
      <alignment horizontal="left" indent="2"/>
    </xf>
    <xf numFmtId="41" fontId="1" fillId="0" borderId="0" xfId="0" applyNumberFormat="1" applyFont="1" applyFill="1" applyBorder="1" applyAlignment="1"/>
    <xf numFmtId="0" fontId="3" fillId="0" borderId="0" xfId="0" applyFont="1" applyFill="1" applyAlignment="1">
      <alignment horizontal="left"/>
    </xf>
    <xf numFmtId="41" fontId="3" fillId="2" borderId="1" xfId="0" applyNumberFormat="1" applyFont="1" applyFill="1" applyBorder="1" applyAlignment="1"/>
    <xf numFmtId="41" fontId="3" fillId="0" borderId="0" xfId="0" applyNumberFormat="1" applyFont="1" applyFill="1" applyAlignment="1"/>
    <xf numFmtId="0" fontId="3" fillId="3" borderId="2" xfId="0" applyFont="1" applyFill="1" applyBorder="1" applyAlignment="1">
      <alignment horizontal="left"/>
    </xf>
    <xf numFmtId="41" fontId="3" fillId="3" borderId="2" xfId="0" applyNumberFormat="1" applyFont="1" applyFill="1" applyBorder="1" applyAlignment="1"/>
    <xf numFmtId="0" fontId="3" fillId="0" borderId="3" xfId="0" applyFont="1" applyFill="1" applyBorder="1" applyAlignment="1"/>
    <xf numFmtId="41" fontId="1" fillId="0" borderId="0" xfId="0" applyNumberFormat="1" applyFont="1" applyFill="1" applyBorder="1" applyAlignment="1"/>
    <xf numFmtId="0" fontId="1" fillId="0" borderId="0" xfId="0" applyFont="1" applyFill="1" applyAlignment="1">
      <alignment horizontal="left" wrapText="1" indent="2"/>
    </xf>
    <xf numFmtId="41" fontId="5" fillId="0" borderId="0" xfId="0" applyNumberFormat="1" applyFont="1" applyFill="1" applyBorder="1" applyAlignment="1"/>
    <xf numFmtId="41" fontId="1" fillId="4" borderId="2" xfId="0" applyNumberFormat="1" applyFont="1" applyFill="1" applyBorder="1" applyAlignment="1"/>
    <xf numFmtId="0" fontId="3"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7" fillId="0" borderId="0" xfId="0" applyFont="1" applyFill="1" applyAlignment="1">
      <alignment wrapText="1"/>
    </xf>
    <xf numFmtId="0" fontId="6" fillId="0" borderId="0" xfId="0" applyFont="1" applyAlignment="1"/>
    <xf numFmtId="0" fontId="6" fillId="0" borderId="0" xfId="0" applyFont="1" applyAlignment="1">
      <alignment horizontal="left"/>
    </xf>
    <xf numFmtId="41" fontId="6" fillId="0" borderId="0" xfId="0" applyNumberFormat="1" applyFont="1" applyFill="1" applyBorder="1" applyAlignment="1"/>
    <xf numFmtId="43" fontId="6" fillId="0" borderId="0" xfId="0" applyNumberFormat="1" applyFont="1" applyFill="1" applyAlignment="1">
      <alignment wrapText="1"/>
    </xf>
    <xf numFmtId="0" fontId="7" fillId="0" borderId="0" xfId="0" applyFont="1" applyAlignment="1">
      <alignment horizontal="left"/>
    </xf>
    <xf numFmtId="41" fontId="3" fillId="3" borderId="1" xfId="0" applyNumberFormat="1" applyFont="1" applyFill="1" applyBorder="1" applyAlignment="1"/>
    <xf numFmtId="0" fontId="3" fillId="0" borderId="0" xfId="0" applyFont="1" applyFill="1" applyBorder="1" applyAlignment="1">
      <alignment horizontal="left"/>
    </xf>
    <xf numFmtId="41" fontId="3" fillId="0" borderId="0" xfId="0" applyNumberFormat="1" applyFont="1" applyFill="1" applyBorder="1" applyAlignment="1"/>
    <xf numFmtId="0" fontId="1" fillId="0" borderId="0" xfId="0" applyFont="1" applyAlignment="1">
      <alignment horizontal="center" vertical="top"/>
    </xf>
    <xf numFmtId="0" fontId="3" fillId="5" borderId="2" xfId="0" applyFont="1" applyFill="1" applyBorder="1" applyAlignment="1">
      <alignment horizontal="left"/>
    </xf>
    <xf numFmtId="41" fontId="3" fillId="5" borderId="2" xfId="0" applyNumberFormat="1" applyFont="1" applyFill="1" applyBorder="1" applyAlignment="1"/>
    <xf numFmtId="41" fontId="1" fillId="0" borderId="0" xfId="0" applyNumberFormat="1" applyFont="1" applyFill="1" applyAlignment="1">
      <alignment horizontal="left" wrapText="1"/>
    </xf>
    <xf numFmtId="41" fontId="1" fillId="0" borderId="0" xfId="0" applyNumberFormat="1" applyFont="1" applyFill="1" applyBorder="1" applyAlignment="1" applyProtection="1">
      <alignment horizontal="right"/>
    </xf>
    <xf numFmtId="41" fontId="1" fillId="6" borderId="2" xfId="0" applyNumberFormat="1" applyFont="1" applyFill="1" applyBorder="1" applyAlignment="1"/>
    <xf numFmtId="41" fontId="3" fillId="5" borderId="1" xfId="0" applyNumberFormat="1" applyFont="1" applyFill="1" applyBorder="1" applyAlignment="1"/>
    <xf numFmtId="0" fontId="8" fillId="0" borderId="0" xfId="0" applyFont="1" applyFill="1" applyAlignment="1">
      <alignment horizontal="left" wrapText="1"/>
    </xf>
    <xf numFmtId="41" fontId="8" fillId="0" borderId="0" xfId="0" applyNumberFormat="1" applyFont="1" applyFill="1" applyBorder="1" applyAlignment="1"/>
    <xf numFmtId="0" fontId="3" fillId="7" borderId="2" xfId="0" applyFont="1" applyFill="1" applyBorder="1" applyAlignment="1"/>
    <xf numFmtId="41" fontId="3" fillId="7" borderId="2" xfId="0" applyNumberFormat="1" applyFont="1" applyFill="1" applyBorder="1" applyAlignment="1"/>
    <xf numFmtId="0" fontId="1" fillId="0" borderId="0" xfId="0" applyFont="1" applyAlignment="1">
      <alignment horizontal="left" wrapText="1" indent="2"/>
    </xf>
    <xf numFmtId="0" fontId="1" fillId="0" borderId="0" xfId="0" applyFont="1" applyFill="1" applyAlignment="1">
      <alignment horizontal="left" indent="4"/>
    </xf>
    <xf numFmtId="41" fontId="3" fillId="7" borderId="1" xfId="0" applyNumberFormat="1" applyFont="1" applyFill="1" applyBorder="1" applyAlignment="1"/>
    <xf numFmtId="41" fontId="1" fillId="8" borderId="0" xfId="0" applyNumberFormat="1" applyFont="1" applyFill="1" applyBorder="1" applyAlignment="1"/>
    <xf numFmtId="0" fontId="1" fillId="0" borderId="0" xfId="0" applyFont="1" applyFill="1" applyBorder="1" applyAlignment="1">
      <alignment horizontal="left" wrapText="1" indent="2"/>
    </xf>
    <xf numFmtId="164" fontId="1" fillId="8" borderId="2" xfId="0" applyNumberFormat="1" applyFont="1" applyFill="1" applyBorder="1" applyAlignment="1"/>
    <xf numFmtId="0" fontId="1" fillId="0" borderId="0" xfId="0" applyFont="1" applyFill="1" applyBorder="1" applyAlignment="1"/>
    <xf numFmtId="41" fontId="10" fillId="0" borderId="0" xfId="0" applyNumberFormat="1" applyFont="1" applyFill="1" applyBorder="1" applyAlignment="1"/>
    <xf numFmtId="41" fontId="11" fillId="0" borderId="0" xfId="0" applyNumberFormat="1" applyFont="1" applyFill="1" applyBorder="1" applyAlignment="1"/>
    <xf numFmtId="165" fontId="1" fillId="0" borderId="0" xfId="0" applyNumberFormat="1" applyFont="1" applyAlignment="1"/>
    <xf numFmtId="0" fontId="3" fillId="0" borderId="0" xfId="0" applyFont="1" applyFill="1" applyBorder="1" applyAlignment="1"/>
    <xf numFmtId="41" fontId="3" fillId="0" borderId="0" xfId="0" applyNumberFormat="1" applyFont="1" applyFill="1" applyBorder="1" applyAlignment="1"/>
    <xf numFmtId="0" fontId="1" fillId="0" borderId="0" xfId="0" applyFont="1" applyFill="1" applyAlignment="1"/>
    <xf numFmtId="41" fontId="3" fillId="0" borderId="0" xfId="0" applyNumberFormat="1" applyFont="1" applyBorder="1" applyAlignment="1"/>
    <xf numFmtId="41" fontId="1" fillId="0" borderId="0" xfId="0" applyNumberFormat="1" applyFont="1" applyBorder="1" applyAlignment="1"/>
    <xf numFmtId="0" fontId="8" fillId="0" borderId="0" xfId="0" applyFont="1" applyFill="1" applyBorder="1" applyAlignment="1">
      <alignment horizontal="left" vertical="top" wrapText="1" indent="1"/>
    </xf>
    <xf numFmtId="41" fontId="1" fillId="3" borderId="1" xfId="0" applyNumberFormat="1" applyFont="1" applyFill="1" applyBorder="1" applyAlignment="1"/>
    <xf numFmtId="0" fontId="1" fillId="0" borderId="0" xfId="0" applyFont="1" applyFill="1" applyAlignment="1">
      <alignment horizontal="left" wrapText="1" indent="4"/>
    </xf>
    <xf numFmtId="0" fontId="0" fillId="0" borderId="0" xfId="0" applyBorder="1"/>
    <xf numFmtId="0" fontId="1" fillId="0" borderId="0" xfId="0" applyFont="1" applyBorder="1" applyAlignment="1">
      <alignment horizontal="center"/>
    </xf>
    <xf numFmtId="0" fontId="1" fillId="0" borderId="0" xfId="0" applyFont="1" applyBorder="1" applyAlignment="1"/>
    <xf numFmtId="0" fontId="12" fillId="0" borderId="0" xfId="0" applyFont="1"/>
    <xf numFmtId="0" fontId="12" fillId="0" borderId="0" xfId="0" applyFont="1" applyAlignment="1">
      <alignment horizontal="left" wrapText="1" indent="2"/>
    </xf>
    <xf numFmtId="41" fontId="3" fillId="8" borderId="3" xfId="0" applyNumberFormat="1" applyFont="1" applyFill="1" applyBorder="1" applyAlignment="1"/>
    <xf numFmtId="0" fontId="12" fillId="7" borderId="2" xfId="0" applyFont="1" applyFill="1" applyBorder="1" applyAlignment="1">
      <alignment wrapText="1"/>
    </xf>
    <xf numFmtId="0" fontId="0" fillId="7" borderId="2"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57"/>
  <sheetViews>
    <sheetView tabSelected="1" view="pageBreakPreview" zoomScale="85" zoomScaleNormal="100" zoomScaleSheetLayoutView="85" workbookViewId="0">
      <pane xSplit="5" ySplit="5" topLeftCell="F178" activePane="bottomRight" state="frozen"/>
      <selection pane="topRight" activeCell="F1" sqref="F1"/>
      <selection pane="bottomLeft" activeCell="A6" sqref="A6"/>
      <selection pane="bottomRight" activeCell="K201" sqref="K201"/>
    </sheetView>
  </sheetViews>
  <sheetFormatPr defaultRowHeight="12.75" outlineLevelRow="2" x14ac:dyDescent="0.2"/>
  <cols>
    <col min="1" max="1" width="7.28515625" style="6" customWidth="1"/>
    <col min="2" max="2" width="10.42578125" style="6" hidden="1" customWidth="1"/>
    <col min="3" max="3" width="10" style="6" bestFit="1" customWidth="1"/>
    <col min="4" max="4" width="97.85546875" style="61" customWidth="1"/>
    <col min="5" max="5" width="25.85546875" style="62" customWidth="1"/>
    <col min="6" max="9" width="15.7109375" style="63" customWidth="1"/>
    <col min="10" max="31" width="15.7109375" style="8" customWidth="1"/>
    <col min="32" max="258" width="9.140625" style="8"/>
    <col min="259" max="259" width="7.28515625" style="8" customWidth="1"/>
    <col min="260" max="260" width="81.85546875" style="8" customWidth="1"/>
    <col min="261" max="261" width="25.85546875" style="8" customWidth="1"/>
    <col min="262" max="262" width="25.42578125" style="8" bestFit="1" customWidth="1"/>
    <col min="263" max="265" width="22.42578125" style="8" customWidth="1"/>
    <col min="266" max="266" width="14.5703125" style="8" customWidth="1"/>
    <col min="267" max="267" width="13.28515625" style="8" bestFit="1" customWidth="1"/>
    <col min="268" max="268" width="11.7109375" style="8" bestFit="1" customWidth="1"/>
    <col min="269" max="514" width="9.140625" style="8"/>
    <col min="515" max="515" width="7.28515625" style="8" customWidth="1"/>
    <col min="516" max="516" width="81.85546875" style="8" customWidth="1"/>
    <col min="517" max="517" width="25.85546875" style="8" customWidth="1"/>
    <col min="518" max="518" width="25.42578125" style="8" bestFit="1" customWidth="1"/>
    <col min="519" max="521" width="22.42578125" style="8" customWidth="1"/>
    <col min="522" max="522" width="14.5703125" style="8" customWidth="1"/>
    <col min="523" max="523" width="13.28515625" style="8" bestFit="1" customWidth="1"/>
    <col min="524" max="524" width="11.7109375" style="8" bestFit="1" customWidth="1"/>
    <col min="525" max="770" width="9.140625" style="8"/>
    <col min="771" max="771" width="7.28515625" style="8" customWidth="1"/>
    <col min="772" max="772" width="81.85546875" style="8" customWidth="1"/>
    <col min="773" max="773" width="25.85546875" style="8" customWidth="1"/>
    <col min="774" max="774" width="25.42578125" style="8" bestFit="1" customWidth="1"/>
    <col min="775" max="777" width="22.42578125" style="8" customWidth="1"/>
    <col min="778" max="778" width="14.5703125" style="8" customWidth="1"/>
    <col min="779" max="779" width="13.28515625" style="8" bestFit="1" customWidth="1"/>
    <col min="780" max="780" width="11.7109375" style="8" bestFit="1" customWidth="1"/>
    <col min="781" max="1026" width="9.140625" style="8"/>
    <col min="1027" max="1027" width="7.28515625" style="8" customWidth="1"/>
    <col min="1028" max="1028" width="81.85546875" style="8" customWidth="1"/>
    <col min="1029" max="1029" width="25.85546875" style="8" customWidth="1"/>
    <col min="1030" max="1030" width="25.42578125" style="8" bestFit="1" customWidth="1"/>
    <col min="1031" max="1033" width="22.42578125" style="8" customWidth="1"/>
    <col min="1034" max="1034" width="14.5703125" style="8" customWidth="1"/>
    <col min="1035" max="1035" width="13.28515625" style="8" bestFit="1" customWidth="1"/>
    <col min="1036" max="1036" width="11.7109375" style="8" bestFit="1" customWidth="1"/>
    <col min="1037" max="1282" width="9.140625" style="8"/>
    <col min="1283" max="1283" width="7.28515625" style="8" customWidth="1"/>
    <col min="1284" max="1284" width="81.85546875" style="8" customWidth="1"/>
    <col min="1285" max="1285" width="25.85546875" style="8" customWidth="1"/>
    <col min="1286" max="1286" width="25.42578125" style="8" bestFit="1" customWidth="1"/>
    <col min="1287" max="1289" width="22.42578125" style="8" customWidth="1"/>
    <col min="1290" max="1290" width="14.5703125" style="8" customWidth="1"/>
    <col min="1291" max="1291" width="13.28515625" style="8" bestFit="1" customWidth="1"/>
    <col min="1292" max="1292" width="11.7109375" style="8" bestFit="1" customWidth="1"/>
    <col min="1293" max="1538" width="9.140625" style="8"/>
    <col min="1539" max="1539" width="7.28515625" style="8" customWidth="1"/>
    <col min="1540" max="1540" width="81.85546875" style="8" customWidth="1"/>
    <col min="1541" max="1541" width="25.85546875" style="8" customWidth="1"/>
    <col min="1542" max="1542" width="25.42578125" style="8" bestFit="1" customWidth="1"/>
    <col min="1543" max="1545" width="22.42578125" style="8" customWidth="1"/>
    <col min="1546" max="1546" width="14.5703125" style="8" customWidth="1"/>
    <col min="1547" max="1547" width="13.28515625" style="8" bestFit="1" customWidth="1"/>
    <col min="1548" max="1548" width="11.7109375" style="8" bestFit="1" customWidth="1"/>
    <col min="1549" max="1794" width="9.140625" style="8"/>
    <col min="1795" max="1795" width="7.28515625" style="8" customWidth="1"/>
    <col min="1796" max="1796" width="81.85546875" style="8" customWidth="1"/>
    <col min="1797" max="1797" width="25.85546875" style="8" customWidth="1"/>
    <col min="1798" max="1798" width="25.42578125" style="8" bestFit="1" customWidth="1"/>
    <col min="1799" max="1801" width="22.42578125" style="8" customWidth="1"/>
    <col min="1802" max="1802" width="14.5703125" style="8" customWidth="1"/>
    <col min="1803" max="1803" width="13.28515625" style="8" bestFit="1" customWidth="1"/>
    <col min="1804" max="1804" width="11.7109375" style="8" bestFit="1" customWidth="1"/>
    <col min="1805" max="2050" width="9.140625" style="8"/>
    <col min="2051" max="2051" width="7.28515625" style="8" customWidth="1"/>
    <col min="2052" max="2052" width="81.85546875" style="8" customWidth="1"/>
    <col min="2053" max="2053" width="25.85546875" style="8" customWidth="1"/>
    <col min="2054" max="2054" width="25.42578125" style="8" bestFit="1" customWidth="1"/>
    <col min="2055" max="2057" width="22.42578125" style="8" customWidth="1"/>
    <col min="2058" max="2058" width="14.5703125" style="8" customWidth="1"/>
    <col min="2059" max="2059" width="13.28515625" style="8" bestFit="1" customWidth="1"/>
    <col min="2060" max="2060" width="11.7109375" style="8" bestFit="1" customWidth="1"/>
    <col min="2061" max="2306" width="9.140625" style="8"/>
    <col min="2307" max="2307" width="7.28515625" style="8" customWidth="1"/>
    <col min="2308" max="2308" width="81.85546875" style="8" customWidth="1"/>
    <col min="2309" max="2309" width="25.85546875" style="8" customWidth="1"/>
    <col min="2310" max="2310" width="25.42578125" style="8" bestFit="1" customWidth="1"/>
    <col min="2311" max="2313" width="22.42578125" style="8" customWidth="1"/>
    <col min="2314" max="2314" width="14.5703125" style="8" customWidth="1"/>
    <col min="2315" max="2315" width="13.28515625" style="8" bestFit="1" customWidth="1"/>
    <col min="2316" max="2316" width="11.7109375" style="8" bestFit="1" customWidth="1"/>
    <col min="2317" max="2562" width="9.140625" style="8"/>
    <col min="2563" max="2563" width="7.28515625" style="8" customWidth="1"/>
    <col min="2564" max="2564" width="81.85546875" style="8" customWidth="1"/>
    <col min="2565" max="2565" width="25.85546875" style="8" customWidth="1"/>
    <col min="2566" max="2566" width="25.42578125" style="8" bestFit="1" customWidth="1"/>
    <col min="2567" max="2569" width="22.42578125" style="8" customWidth="1"/>
    <col min="2570" max="2570" width="14.5703125" style="8" customWidth="1"/>
    <col min="2571" max="2571" width="13.28515625" style="8" bestFit="1" customWidth="1"/>
    <col min="2572" max="2572" width="11.7109375" style="8" bestFit="1" customWidth="1"/>
    <col min="2573" max="2818" width="9.140625" style="8"/>
    <col min="2819" max="2819" width="7.28515625" style="8" customWidth="1"/>
    <col min="2820" max="2820" width="81.85546875" style="8" customWidth="1"/>
    <col min="2821" max="2821" width="25.85546875" style="8" customWidth="1"/>
    <col min="2822" max="2822" width="25.42578125" style="8" bestFit="1" customWidth="1"/>
    <col min="2823" max="2825" width="22.42578125" style="8" customWidth="1"/>
    <col min="2826" max="2826" width="14.5703125" style="8" customWidth="1"/>
    <col min="2827" max="2827" width="13.28515625" style="8" bestFit="1" customWidth="1"/>
    <col min="2828" max="2828" width="11.7109375" style="8" bestFit="1" customWidth="1"/>
    <col min="2829" max="3074" width="9.140625" style="8"/>
    <col min="3075" max="3075" width="7.28515625" style="8" customWidth="1"/>
    <col min="3076" max="3076" width="81.85546875" style="8" customWidth="1"/>
    <col min="3077" max="3077" width="25.85546875" style="8" customWidth="1"/>
    <col min="3078" max="3078" width="25.42578125" style="8" bestFit="1" customWidth="1"/>
    <col min="3079" max="3081" width="22.42578125" style="8" customWidth="1"/>
    <col min="3082" max="3082" width="14.5703125" style="8" customWidth="1"/>
    <col min="3083" max="3083" width="13.28515625" style="8" bestFit="1" customWidth="1"/>
    <col min="3084" max="3084" width="11.7109375" style="8" bestFit="1" customWidth="1"/>
    <col min="3085" max="3330" width="9.140625" style="8"/>
    <col min="3331" max="3331" width="7.28515625" style="8" customWidth="1"/>
    <col min="3332" max="3332" width="81.85546875" style="8" customWidth="1"/>
    <col min="3333" max="3333" width="25.85546875" style="8" customWidth="1"/>
    <col min="3334" max="3334" width="25.42578125" style="8" bestFit="1" customWidth="1"/>
    <col min="3335" max="3337" width="22.42578125" style="8" customWidth="1"/>
    <col min="3338" max="3338" width="14.5703125" style="8" customWidth="1"/>
    <col min="3339" max="3339" width="13.28515625" style="8" bestFit="1" customWidth="1"/>
    <col min="3340" max="3340" width="11.7109375" style="8" bestFit="1" customWidth="1"/>
    <col min="3341" max="3586" width="9.140625" style="8"/>
    <col min="3587" max="3587" width="7.28515625" style="8" customWidth="1"/>
    <col min="3588" max="3588" width="81.85546875" style="8" customWidth="1"/>
    <col min="3589" max="3589" width="25.85546875" style="8" customWidth="1"/>
    <col min="3590" max="3590" width="25.42578125" style="8" bestFit="1" customWidth="1"/>
    <col min="3591" max="3593" width="22.42578125" style="8" customWidth="1"/>
    <col min="3594" max="3594" width="14.5703125" style="8" customWidth="1"/>
    <col min="3595" max="3595" width="13.28515625" style="8" bestFit="1" customWidth="1"/>
    <col min="3596" max="3596" width="11.7109375" style="8" bestFit="1" customWidth="1"/>
    <col min="3597" max="3842" width="9.140625" style="8"/>
    <col min="3843" max="3843" width="7.28515625" style="8" customWidth="1"/>
    <col min="3844" max="3844" width="81.85546875" style="8" customWidth="1"/>
    <col min="3845" max="3845" width="25.85546875" style="8" customWidth="1"/>
    <col min="3846" max="3846" width="25.42578125" style="8" bestFit="1" customWidth="1"/>
    <col min="3847" max="3849" width="22.42578125" style="8" customWidth="1"/>
    <col min="3850" max="3850" width="14.5703125" style="8" customWidth="1"/>
    <col min="3851" max="3851" width="13.28515625" style="8" bestFit="1" customWidth="1"/>
    <col min="3852" max="3852" width="11.7109375" style="8" bestFit="1" customWidth="1"/>
    <col min="3853" max="4098" width="9.140625" style="8"/>
    <col min="4099" max="4099" width="7.28515625" style="8" customWidth="1"/>
    <col min="4100" max="4100" width="81.85546875" style="8" customWidth="1"/>
    <col min="4101" max="4101" width="25.85546875" style="8" customWidth="1"/>
    <col min="4102" max="4102" width="25.42578125" style="8" bestFit="1" customWidth="1"/>
    <col min="4103" max="4105" width="22.42578125" style="8" customWidth="1"/>
    <col min="4106" max="4106" width="14.5703125" style="8" customWidth="1"/>
    <col min="4107" max="4107" width="13.28515625" style="8" bestFit="1" customWidth="1"/>
    <col min="4108" max="4108" width="11.7109375" style="8" bestFit="1" customWidth="1"/>
    <col min="4109" max="4354" width="9.140625" style="8"/>
    <col min="4355" max="4355" width="7.28515625" style="8" customWidth="1"/>
    <col min="4356" max="4356" width="81.85546875" style="8" customWidth="1"/>
    <col min="4357" max="4357" width="25.85546875" style="8" customWidth="1"/>
    <col min="4358" max="4358" width="25.42578125" style="8" bestFit="1" customWidth="1"/>
    <col min="4359" max="4361" width="22.42578125" style="8" customWidth="1"/>
    <col min="4362" max="4362" width="14.5703125" style="8" customWidth="1"/>
    <col min="4363" max="4363" width="13.28515625" style="8" bestFit="1" customWidth="1"/>
    <col min="4364" max="4364" width="11.7109375" style="8" bestFit="1" customWidth="1"/>
    <col min="4365" max="4610" width="9.140625" style="8"/>
    <col min="4611" max="4611" width="7.28515625" style="8" customWidth="1"/>
    <col min="4612" max="4612" width="81.85546875" style="8" customWidth="1"/>
    <col min="4613" max="4613" width="25.85546875" style="8" customWidth="1"/>
    <col min="4614" max="4614" width="25.42578125" style="8" bestFit="1" customWidth="1"/>
    <col min="4615" max="4617" width="22.42578125" style="8" customWidth="1"/>
    <col min="4618" max="4618" width="14.5703125" style="8" customWidth="1"/>
    <col min="4619" max="4619" width="13.28515625" style="8" bestFit="1" customWidth="1"/>
    <col min="4620" max="4620" width="11.7109375" style="8" bestFit="1" customWidth="1"/>
    <col min="4621" max="4866" width="9.140625" style="8"/>
    <col min="4867" max="4867" width="7.28515625" style="8" customWidth="1"/>
    <col min="4868" max="4868" width="81.85546875" style="8" customWidth="1"/>
    <col min="4869" max="4869" width="25.85546875" style="8" customWidth="1"/>
    <col min="4870" max="4870" width="25.42578125" style="8" bestFit="1" customWidth="1"/>
    <col min="4871" max="4873" width="22.42578125" style="8" customWidth="1"/>
    <col min="4874" max="4874" width="14.5703125" style="8" customWidth="1"/>
    <col min="4875" max="4875" width="13.28515625" style="8" bestFit="1" customWidth="1"/>
    <col min="4876" max="4876" width="11.7109375" style="8" bestFit="1" customWidth="1"/>
    <col min="4877" max="5122" width="9.140625" style="8"/>
    <col min="5123" max="5123" width="7.28515625" style="8" customWidth="1"/>
    <col min="5124" max="5124" width="81.85546875" style="8" customWidth="1"/>
    <col min="5125" max="5125" width="25.85546875" style="8" customWidth="1"/>
    <col min="5126" max="5126" width="25.42578125" style="8" bestFit="1" customWidth="1"/>
    <col min="5127" max="5129" width="22.42578125" style="8" customWidth="1"/>
    <col min="5130" max="5130" width="14.5703125" style="8" customWidth="1"/>
    <col min="5131" max="5131" width="13.28515625" style="8" bestFit="1" customWidth="1"/>
    <col min="5132" max="5132" width="11.7109375" style="8" bestFit="1" customWidth="1"/>
    <col min="5133" max="5378" width="9.140625" style="8"/>
    <col min="5379" max="5379" width="7.28515625" style="8" customWidth="1"/>
    <col min="5380" max="5380" width="81.85546875" style="8" customWidth="1"/>
    <col min="5381" max="5381" width="25.85546875" style="8" customWidth="1"/>
    <col min="5382" max="5382" width="25.42578125" style="8" bestFit="1" customWidth="1"/>
    <col min="5383" max="5385" width="22.42578125" style="8" customWidth="1"/>
    <col min="5386" max="5386" width="14.5703125" style="8" customWidth="1"/>
    <col min="5387" max="5387" width="13.28515625" style="8" bestFit="1" customWidth="1"/>
    <col min="5388" max="5388" width="11.7109375" style="8" bestFit="1" customWidth="1"/>
    <col min="5389" max="5634" width="9.140625" style="8"/>
    <col min="5635" max="5635" width="7.28515625" style="8" customWidth="1"/>
    <col min="5636" max="5636" width="81.85546875" style="8" customWidth="1"/>
    <col min="5637" max="5637" width="25.85546875" style="8" customWidth="1"/>
    <col min="5638" max="5638" width="25.42578125" style="8" bestFit="1" customWidth="1"/>
    <col min="5639" max="5641" width="22.42578125" style="8" customWidth="1"/>
    <col min="5642" max="5642" width="14.5703125" style="8" customWidth="1"/>
    <col min="5643" max="5643" width="13.28515625" style="8" bestFit="1" customWidth="1"/>
    <col min="5644" max="5644" width="11.7109375" style="8" bestFit="1" customWidth="1"/>
    <col min="5645" max="5890" width="9.140625" style="8"/>
    <col min="5891" max="5891" width="7.28515625" style="8" customWidth="1"/>
    <col min="5892" max="5892" width="81.85546875" style="8" customWidth="1"/>
    <col min="5893" max="5893" width="25.85546875" style="8" customWidth="1"/>
    <col min="5894" max="5894" width="25.42578125" style="8" bestFit="1" customWidth="1"/>
    <col min="5895" max="5897" width="22.42578125" style="8" customWidth="1"/>
    <col min="5898" max="5898" width="14.5703125" style="8" customWidth="1"/>
    <col min="5899" max="5899" width="13.28515625" style="8" bestFit="1" customWidth="1"/>
    <col min="5900" max="5900" width="11.7109375" style="8" bestFit="1" customWidth="1"/>
    <col min="5901" max="6146" width="9.140625" style="8"/>
    <col min="6147" max="6147" width="7.28515625" style="8" customWidth="1"/>
    <col min="6148" max="6148" width="81.85546875" style="8" customWidth="1"/>
    <col min="6149" max="6149" width="25.85546875" style="8" customWidth="1"/>
    <col min="6150" max="6150" width="25.42578125" style="8" bestFit="1" customWidth="1"/>
    <col min="6151" max="6153" width="22.42578125" style="8" customWidth="1"/>
    <col min="6154" max="6154" width="14.5703125" style="8" customWidth="1"/>
    <col min="6155" max="6155" width="13.28515625" style="8" bestFit="1" customWidth="1"/>
    <col min="6156" max="6156" width="11.7109375" style="8" bestFit="1" customWidth="1"/>
    <col min="6157" max="6402" width="9.140625" style="8"/>
    <col min="6403" max="6403" width="7.28515625" style="8" customWidth="1"/>
    <col min="6404" max="6404" width="81.85546875" style="8" customWidth="1"/>
    <col min="6405" max="6405" width="25.85546875" style="8" customWidth="1"/>
    <col min="6406" max="6406" width="25.42578125" style="8" bestFit="1" customWidth="1"/>
    <col min="6407" max="6409" width="22.42578125" style="8" customWidth="1"/>
    <col min="6410" max="6410" width="14.5703125" style="8" customWidth="1"/>
    <col min="6411" max="6411" width="13.28515625" style="8" bestFit="1" customWidth="1"/>
    <col min="6412" max="6412" width="11.7109375" style="8" bestFit="1" customWidth="1"/>
    <col min="6413" max="6658" width="9.140625" style="8"/>
    <col min="6659" max="6659" width="7.28515625" style="8" customWidth="1"/>
    <col min="6660" max="6660" width="81.85546875" style="8" customWidth="1"/>
    <col min="6661" max="6661" width="25.85546875" style="8" customWidth="1"/>
    <col min="6662" max="6662" width="25.42578125" style="8" bestFit="1" customWidth="1"/>
    <col min="6663" max="6665" width="22.42578125" style="8" customWidth="1"/>
    <col min="6666" max="6666" width="14.5703125" style="8" customWidth="1"/>
    <col min="6667" max="6667" width="13.28515625" style="8" bestFit="1" customWidth="1"/>
    <col min="6668" max="6668" width="11.7109375" style="8" bestFit="1" customWidth="1"/>
    <col min="6669" max="6914" width="9.140625" style="8"/>
    <col min="6915" max="6915" width="7.28515625" style="8" customWidth="1"/>
    <col min="6916" max="6916" width="81.85546875" style="8" customWidth="1"/>
    <col min="6917" max="6917" width="25.85546875" style="8" customWidth="1"/>
    <col min="6918" max="6918" width="25.42578125" style="8" bestFit="1" customWidth="1"/>
    <col min="6919" max="6921" width="22.42578125" style="8" customWidth="1"/>
    <col min="6922" max="6922" width="14.5703125" style="8" customWidth="1"/>
    <col min="6923" max="6923" width="13.28515625" style="8" bestFit="1" customWidth="1"/>
    <col min="6924" max="6924" width="11.7109375" style="8" bestFit="1" customWidth="1"/>
    <col min="6925" max="7170" width="9.140625" style="8"/>
    <col min="7171" max="7171" width="7.28515625" style="8" customWidth="1"/>
    <col min="7172" max="7172" width="81.85546875" style="8" customWidth="1"/>
    <col min="7173" max="7173" width="25.85546875" style="8" customWidth="1"/>
    <col min="7174" max="7174" width="25.42578125" style="8" bestFit="1" customWidth="1"/>
    <col min="7175" max="7177" width="22.42578125" style="8" customWidth="1"/>
    <col min="7178" max="7178" width="14.5703125" style="8" customWidth="1"/>
    <col min="7179" max="7179" width="13.28515625" style="8" bestFit="1" customWidth="1"/>
    <col min="7180" max="7180" width="11.7109375" style="8" bestFit="1" customWidth="1"/>
    <col min="7181" max="7426" width="9.140625" style="8"/>
    <col min="7427" max="7427" width="7.28515625" style="8" customWidth="1"/>
    <col min="7428" max="7428" width="81.85546875" style="8" customWidth="1"/>
    <col min="7429" max="7429" width="25.85546875" style="8" customWidth="1"/>
    <col min="7430" max="7430" width="25.42578125" style="8" bestFit="1" customWidth="1"/>
    <col min="7431" max="7433" width="22.42578125" style="8" customWidth="1"/>
    <col min="7434" max="7434" width="14.5703125" style="8" customWidth="1"/>
    <col min="7435" max="7435" width="13.28515625" style="8" bestFit="1" customWidth="1"/>
    <col min="7436" max="7436" width="11.7109375" style="8" bestFit="1" customWidth="1"/>
    <col min="7437" max="7682" width="9.140625" style="8"/>
    <col min="7683" max="7683" width="7.28515625" style="8" customWidth="1"/>
    <col min="7684" max="7684" width="81.85546875" style="8" customWidth="1"/>
    <col min="7685" max="7685" width="25.85546875" style="8" customWidth="1"/>
    <col min="7686" max="7686" width="25.42578125" style="8" bestFit="1" customWidth="1"/>
    <col min="7687" max="7689" width="22.42578125" style="8" customWidth="1"/>
    <col min="7690" max="7690" width="14.5703125" style="8" customWidth="1"/>
    <col min="7691" max="7691" width="13.28515625" style="8" bestFit="1" customWidth="1"/>
    <col min="7692" max="7692" width="11.7109375" style="8" bestFit="1" customWidth="1"/>
    <col min="7693" max="7938" width="9.140625" style="8"/>
    <col min="7939" max="7939" width="7.28515625" style="8" customWidth="1"/>
    <col min="7940" max="7940" width="81.85546875" style="8" customWidth="1"/>
    <col min="7941" max="7941" width="25.85546875" style="8" customWidth="1"/>
    <col min="7942" max="7942" width="25.42578125" style="8" bestFit="1" customWidth="1"/>
    <col min="7943" max="7945" width="22.42578125" style="8" customWidth="1"/>
    <col min="7946" max="7946" width="14.5703125" style="8" customWidth="1"/>
    <col min="7947" max="7947" width="13.28515625" style="8" bestFit="1" customWidth="1"/>
    <col min="7948" max="7948" width="11.7109375" style="8" bestFit="1" customWidth="1"/>
    <col min="7949" max="8194" width="9.140625" style="8"/>
    <col min="8195" max="8195" width="7.28515625" style="8" customWidth="1"/>
    <col min="8196" max="8196" width="81.85546875" style="8" customWidth="1"/>
    <col min="8197" max="8197" width="25.85546875" style="8" customWidth="1"/>
    <col min="8198" max="8198" width="25.42578125" style="8" bestFit="1" customWidth="1"/>
    <col min="8199" max="8201" width="22.42578125" style="8" customWidth="1"/>
    <col min="8202" max="8202" width="14.5703125" style="8" customWidth="1"/>
    <col min="8203" max="8203" width="13.28515625" style="8" bestFit="1" customWidth="1"/>
    <col min="8204" max="8204" width="11.7109375" style="8" bestFit="1" customWidth="1"/>
    <col min="8205" max="8450" width="9.140625" style="8"/>
    <col min="8451" max="8451" width="7.28515625" style="8" customWidth="1"/>
    <col min="8452" max="8452" width="81.85546875" style="8" customWidth="1"/>
    <col min="8453" max="8453" width="25.85546875" style="8" customWidth="1"/>
    <col min="8454" max="8454" width="25.42578125" style="8" bestFit="1" customWidth="1"/>
    <col min="8455" max="8457" width="22.42578125" style="8" customWidth="1"/>
    <col min="8458" max="8458" width="14.5703125" style="8" customWidth="1"/>
    <col min="8459" max="8459" width="13.28515625" style="8" bestFit="1" customWidth="1"/>
    <col min="8460" max="8460" width="11.7109375" style="8" bestFit="1" customWidth="1"/>
    <col min="8461" max="8706" width="9.140625" style="8"/>
    <col min="8707" max="8707" width="7.28515625" style="8" customWidth="1"/>
    <col min="8708" max="8708" width="81.85546875" style="8" customWidth="1"/>
    <col min="8709" max="8709" width="25.85546875" style="8" customWidth="1"/>
    <col min="8710" max="8710" width="25.42578125" style="8" bestFit="1" customWidth="1"/>
    <col min="8711" max="8713" width="22.42578125" style="8" customWidth="1"/>
    <col min="8714" max="8714" width="14.5703125" style="8" customWidth="1"/>
    <col min="8715" max="8715" width="13.28515625" style="8" bestFit="1" customWidth="1"/>
    <col min="8716" max="8716" width="11.7109375" style="8" bestFit="1" customWidth="1"/>
    <col min="8717" max="8962" width="9.140625" style="8"/>
    <col min="8963" max="8963" width="7.28515625" style="8" customWidth="1"/>
    <col min="8964" max="8964" width="81.85546875" style="8" customWidth="1"/>
    <col min="8965" max="8965" width="25.85546875" style="8" customWidth="1"/>
    <col min="8966" max="8966" width="25.42578125" style="8" bestFit="1" customWidth="1"/>
    <col min="8967" max="8969" width="22.42578125" style="8" customWidth="1"/>
    <col min="8970" max="8970" width="14.5703125" style="8" customWidth="1"/>
    <col min="8971" max="8971" width="13.28515625" style="8" bestFit="1" customWidth="1"/>
    <col min="8972" max="8972" width="11.7109375" style="8" bestFit="1" customWidth="1"/>
    <col min="8973" max="9218" width="9.140625" style="8"/>
    <col min="9219" max="9219" width="7.28515625" style="8" customWidth="1"/>
    <col min="9220" max="9220" width="81.85546875" style="8" customWidth="1"/>
    <col min="9221" max="9221" width="25.85546875" style="8" customWidth="1"/>
    <col min="9222" max="9222" width="25.42578125" style="8" bestFit="1" customWidth="1"/>
    <col min="9223" max="9225" width="22.42578125" style="8" customWidth="1"/>
    <col min="9226" max="9226" width="14.5703125" style="8" customWidth="1"/>
    <col min="9227" max="9227" width="13.28515625" style="8" bestFit="1" customWidth="1"/>
    <col min="9228" max="9228" width="11.7109375" style="8" bestFit="1" customWidth="1"/>
    <col min="9229" max="9474" width="9.140625" style="8"/>
    <col min="9475" max="9475" width="7.28515625" style="8" customWidth="1"/>
    <col min="9476" max="9476" width="81.85546875" style="8" customWidth="1"/>
    <col min="9477" max="9477" width="25.85546875" style="8" customWidth="1"/>
    <col min="9478" max="9478" width="25.42578125" style="8" bestFit="1" customWidth="1"/>
    <col min="9479" max="9481" width="22.42578125" style="8" customWidth="1"/>
    <col min="9482" max="9482" width="14.5703125" style="8" customWidth="1"/>
    <col min="9483" max="9483" width="13.28515625" style="8" bestFit="1" customWidth="1"/>
    <col min="9484" max="9484" width="11.7109375" style="8" bestFit="1" customWidth="1"/>
    <col min="9485" max="9730" width="9.140625" style="8"/>
    <col min="9731" max="9731" width="7.28515625" style="8" customWidth="1"/>
    <col min="9732" max="9732" width="81.85546875" style="8" customWidth="1"/>
    <col min="9733" max="9733" width="25.85546875" style="8" customWidth="1"/>
    <col min="9734" max="9734" width="25.42578125" style="8" bestFit="1" customWidth="1"/>
    <col min="9735" max="9737" width="22.42578125" style="8" customWidth="1"/>
    <col min="9738" max="9738" width="14.5703125" style="8" customWidth="1"/>
    <col min="9739" max="9739" width="13.28515625" style="8" bestFit="1" customWidth="1"/>
    <col min="9740" max="9740" width="11.7109375" style="8" bestFit="1" customWidth="1"/>
    <col min="9741" max="9986" width="9.140625" style="8"/>
    <col min="9987" max="9987" width="7.28515625" style="8" customWidth="1"/>
    <col min="9988" max="9988" width="81.85546875" style="8" customWidth="1"/>
    <col min="9989" max="9989" width="25.85546875" style="8" customWidth="1"/>
    <col min="9990" max="9990" width="25.42578125" style="8" bestFit="1" customWidth="1"/>
    <col min="9991" max="9993" width="22.42578125" style="8" customWidth="1"/>
    <col min="9994" max="9994" width="14.5703125" style="8" customWidth="1"/>
    <col min="9995" max="9995" width="13.28515625" style="8" bestFit="1" customWidth="1"/>
    <col min="9996" max="9996" width="11.7109375" style="8" bestFit="1" customWidth="1"/>
    <col min="9997" max="10242" width="9.140625" style="8"/>
    <col min="10243" max="10243" width="7.28515625" style="8" customWidth="1"/>
    <col min="10244" max="10244" width="81.85546875" style="8" customWidth="1"/>
    <col min="10245" max="10245" width="25.85546875" style="8" customWidth="1"/>
    <col min="10246" max="10246" width="25.42578125" style="8" bestFit="1" customWidth="1"/>
    <col min="10247" max="10249" width="22.42578125" style="8" customWidth="1"/>
    <col min="10250" max="10250" width="14.5703125" style="8" customWidth="1"/>
    <col min="10251" max="10251" width="13.28515625" style="8" bestFit="1" customWidth="1"/>
    <col min="10252" max="10252" width="11.7109375" style="8" bestFit="1" customWidth="1"/>
    <col min="10253" max="10498" width="9.140625" style="8"/>
    <col min="10499" max="10499" width="7.28515625" style="8" customWidth="1"/>
    <col min="10500" max="10500" width="81.85546875" style="8" customWidth="1"/>
    <col min="10501" max="10501" width="25.85546875" style="8" customWidth="1"/>
    <col min="10502" max="10502" width="25.42578125" style="8" bestFit="1" customWidth="1"/>
    <col min="10503" max="10505" width="22.42578125" style="8" customWidth="1"/>
    <col min="10506" max="10506" width="14.5703125" style="8" customWidth="1"/>
    <col min="10507" max="10507" width="13.28515625" style="8" bestFit="1" customWidth="1"/>
    <col min="10508" max="10508" width="11.7109375" style="8" bestFit="1" customWidth="1"/>
    <col min="10509" max="10754" width="9.140625" style="8"/>
    <col min="10755" max="10755" width="7.28515625" style="8" customWidth="1"/>
    <col min="10756" max="10756" width="81.85546875" style="8" customWidth="1"/>
    <col min="10757" max="10757" width="25.85546875" style="8" customWidth="1"/>
    <col min="10758" max="10758" width="25.42578125" style="8" bestFit="1" customWidth="1"/>
    <col min="10759" max="10761" width="22.42578125" style="8" customWidth="1"/>
    <col min="10762" max="10762" width="14.5703125" style="8" customWidth="1"/>
    <col min="10763" max="10763" width="13.28515625" style="8" bestFit="1" customWidth="1"/>
    <col min="10764" max="10764" width="11.7109375" style="8" bestFit="1" customWidth="1"/>
    <col min="10765" max="11010" width="9.140625" style="8"/>
    <col min="11011" max="11011" width="7.28515625" style="8" customWidth="1"/>
    <col min="11012" max="11012" width="81.85546875" style="8" customWidth="1"/>
    <col min="11013" max="11013" width="25.85546875" style="8" customWidth="1"/>
    <col min="11014" max="11014" width="25.42578125" style="8" bestFit="1" customWidth="1"/>
    <col min="11015" max="11017" width="22.42578125" style="8" customWidth="1"/>
    <col min="11018" max="11018" width="14.5703125" style="8" customWidth="1"/>
    <col min="11019" max="11019" width="13.28515625" style="8" bestFit="1" customWidth="1"/>
    <col min="11020" max="11020" width="11.7109375" style="8" bestFit="1" customWidth="1"/>
    <col min="11021" max="11266" width="9.140625" style="8"/>
    <col min="11267" max="11267" width="7.28515625" style="8" customWidth="1"/>
    <col min="11268" max="11268" width="81.85546875" style="8" customWidth="1"/>
    <col min="11269" max="11269" width="25.85546875" style="8" customWidth="1"/>
    <col min="11270" max="11270" width="25.42578125" style="8" bestFit="1" customWidth="1"/>
    <col min="11271" max="11273" width="22.42578125" style="8" customWidth="1"/>
    <col min="11274" max="11274" width="14.5703125" style="8" customWidth="1"/>
    <col min="11275" max="11275" width="13.28515625" style="8" bestFit="1" customWidth="1"/>
    <col min="11276" max="11276" width="11.7109375" style="8" bestFit="1" customWidth="1"/>
    <col min="11277" max="11522" width="9.140625" style="8"/>
    <col min="11523" max="11523" width="7.28515625" style="8" customWidth="1"/>
    <col min="11524" max="11524" width="81.85546875" style="8" customWidth="1"/>
    <col min="11525" max="11525" width="25.85546875" style="8" customWidth="1"/>
    <col min="11526" max="11526" width="25.42578125" style="8" bestFit="1" customWidth="1"/>
    <col min="11527" max="11529" width="22.42578125" style="8" customWidth="1"/>
    <col min="11530" max="11530" width="14.5703125" style="8" customWidth="1"/>
    <col min="11531" max="11531" width="13.28515625" style="8" bestFit="1" customWidth="1"/>
    <col min="11532" max="11532" width="11.7109375" style="8" bestFit="1" customWidth="1"/>
    <col min="11533" max="11778" width="9.140625" style="8"/>
    <col min="11779" max="11779" width="7.28515625" style="8" customWidth="1"/>
    <col min="11780" max="11780" width="81.85546875" style="8" customWidth="1"/>
    <col min="11781" max="11781" width="25.85546875" style="8" customWidth="1"/>
    <col min="11782" max="11782" width="25.42578125" style="8" bestFit="1" customWidth="1"/>
    <col min="11783" max="11785" width="22.42578125" style="8" customWidth="1"/>
    <col min="11786" max="11786" width="14.5703125" style="8" customWidth="1"/>
    <col min="11787" max="11787" width="13.28515625" style="8" bestFit="1" customWidth="1"/>
    <col min="11788" max="11788" width="11.7109375" style="8" bestFit="1" customWidth="1"/>
    <col min="11789" max="12034" width="9.140625" style="8"/>
    <col min="12035" max="12035" width="7.28515625" style="8" customWidth="1"/>
    <col min="12036" max="12036" width="81.85546875" style="8" customWidth="1"/>
    <col min="12037" max="12037" width="25.85546875" style="8" customWidth="1"/>
    <col min="12038" max="12038" width="25.42578125" style="8" bestFit="1" customWidth="1"/>
    <col min="12039" max="12041" width="22.42578125" style="8" customWidth="1"/>
    <col min="12042" max="12042" width="14.5703125" style="8" customWidth="1"/>
    <col min="12043" max="12043" width="13.28515625" style="8" bestFit="1" customWidth="1"/>
    <col min="12044" max="12044" width="11.7109375" style="8" bestFit="1" customWidth="1"/>
    <col min="12045" max="12290" width="9.140625" style="8"/>
    <col min="12291" max="12291" width="7.28515625" style="8" customWidth="1"/>
    <col min="12292" max="12292" width="81.85546875" style="8" customWidth="1"/>
    <col min="12293" max="12293" width="25.85546875" style="8" customWidth="1"/>
    <col min="12294" max="12294" width="25.42578125" style="8" bestFit="1" customWidth="1"/>
    <col min="12295" max="12297" width="22.42578125" style="8" customWidth="1"/>
    <col min="12298" max="12298" width="14.5703125" style="8" customWidth="1"/>
    <col min="12299" max="12299" width="13.28515625" style="8" bestFit="1" customWidth="1"/>
    <col min="12300" max="12300" width="11.7109375" style="8" bestFit="1" customWidth="1"/>
    <col min="12301" max="12546" width="9.140625" style="8"/>
    <col min="12547" max="12547" width="7.28515625" style="8" customWidth="1"/>
    <col min="12548" max="12548" width="81.85546875" style="8" customWidth="1"/>
    <col min="12549" max="12549" width="25.85546875" style="8" customWidth="1"/>
    <col min="12550" max="12550" width="25.42578125" style="8" bestFit="1" customWidth="1"/>
    <col min="12551" max="12553" width="22.42578125" style="8" customWidth="1"/>
    <col min="12554" max="12554" width="14.5703125" style="8" customWidth="1"/>
    <col min="12555" max="12555" width="13.28515625" style="8" bestFit="1" customWidth="1"/>
    <col min="12556" max="12556" width="11.7109375" style="8" bestFit="1" customWidth="1"/>
    <col min="12557" max="12802" width="9.140625" style="8"/>
    <col min="12803" max="12803" width="7.28515625" style="8" customWidth="1"/>
    <col min="12804" max="12804" width="81.85546875" style="8" customWidth="1"/>
    <col min="12805" max="12805" width="25.85546875" style="8" customWidth="1"/>
    <col min="12806" max="12806" width="25.42578125" style="8" bestFit="1" customWidth="1"/>
    <col min="12807" max="12809" width="22.42578125" style="8" customWidth="1"/>
    <col min="12810" max="12810" width="14.5703125" style="8" customWidth="1"/>
    <col min="12811" max="12811" width="13.28515625" style="8" bestFit="1" customWidth="1"/>
    <col min="12812" max="12812" width="11.7109375" style="8" bestFit="1" customWidth="1"/>
    <col min="12813" max="13058" width="9.140625" style="8"/>
    <col min="13059" max="13059" width="7.28515625" style="8" customWidth="1"/>
    <col min="13060" max="13060" width="81.85546875" style="8" customWidth="1"/>
    <col min="13061" max="13061" width="25.85546875" style="8" customWidth="1"/>
    <col min="13062" max="13062" width="25.42578125" style="8" bestFit="1" customWidth="1"/>
    <col min="13063" max="13065" width="22.42578125" style="8" customWidth="1"/>
    <col min="13066" max="13066" width="14.5703125" style="8" customWidth="1"/>
    <col min="13067" max="13067" width="13.28515625" style="8" bestFit="1" customWidth="1"/>
    <col min="13068" max="13068" width="11.7109375" style="8" bestFit="1" customWidth="1"/>
    <col min="13069" max="13314" width="9.140625" style="8"/>
    <col min="13315" max="13315" width="7.28515625" style="8" customWidth="1"/>
    <col min="13316" max="13316" width="81.85546875" style="8" customWidth="1"/>
    <col min="13317" max="13317" width="25.85546875" style="8" customWidth="1"/>
    <col min="13318" max="13318" width="25.42578125" style="8" bestFit="1" customWidth="1"/>
    <col min="13319" max="13321" width="22.42578125" style="8" customWidth="1"/>
    <col min="13322" max="13322" width="14.5703125" style="8" customWidth="1"/>
    <col min="13323" max="13323" width="13.28515625" style="8" bestFit="1" customWidth="1"/>
    <col min="13324" max="13324" width="11.7109375" style="8" bestFit="1" customWidth="1"/>
    <col min="13325" max="13570" width="9.140625" style="8"/>
    <col min="13571" max="13571" width="7.28515625" style="8" customWidth="1"/>
    <col min="13572" max="13572" width="81.85546875" style="8" customWidth="1"/>
    <col min="13573" max="13573" width="25.85546875" style="8" customWidth="1"/>
    <col min="13574" max="13574" width="25.42578125" style="8" bestFit="1" customWidth="1"/>
    <col min="13575" max="13577" width="22.42578125" style="8" customWidth="1"/>
    <col min="13578" max="13578" width="14.5703125" style="8" customWidth="1"/>
    <col min="13579" max="13579" width="13.28515625" style="8" bestFit="1" customWidth="1"/>
    <col min="13580" max="13580" width="11.7109375" style="8" bestFit="1" customWidth="1"/>
    <col min="13581" max="13826" width="9.140625" style="8"/>
    <col min="13827" max="13827" width="7.28515625" style="8" customWidth="1"/>
    <col min="13828" max="13828" width="81.85546875" style="8" customWidth="1"/>
    <col min="13829" max="13829" width="25.85546875" style="8" customWidth="1"/>
    <col min="13830" max="13830" width="25.42578125" style="8" bestFit="1" customWidth="1"/>
    <col min="13831" max="13833" width="22.42578125" style="8" customWidth="1"/>
    <col min="13834" max="13834" width="14.5703125" style="8" customWidth="1"/>
    <col min="13835" max="13835" width="13.28515625" style="8" bestFit="1" customWidth="1"/>
    <col min="13836" max="13836" width="11.7109375" style="8" bestFit="1" customWidth="1"/>
    <col min="13837" max="14082" width="9.140625" style="8"/>
    <col min="14083" max="14083" width="7.28515625" style="8" customWidth="1"/>
    <col min="14084" max="14084" width="81.85546875" style="8" customWidth="1"/>
    <col min="14085" max="14085" width="25.85546875" style="8" customWidth="1"/>
    <col min="14086" max="14086" width="25.42578125" style="8" bestFit="1" customWidth="1"/>
    <col min="14087" max="14089" width="22.42578125" style="8" customWidth="1"/>
    <col min="14090" max="14090" width="14.5703125" style="8" customWidth="1"/>
    <col min="14091" max="14091" width="13.28515625" style="8" bestFit="1" customWidth="1"/>
    <col min="14092" max="14092" width="11.7109375" style="8" bestFit="1" customWidth="1"/>
    <col min="14093" max="14338" width="9.140625" style="8"/>
    <col min="14339" max="14339" width="7.28515625" style="8" customWidth="1"/>
    <col min="14340" max="14340" width="81.85546875" style="8" customWidth="1"/>
    <col min="14341" max="14341" width="25.85546875" style="8" customWidth="1"/>
    <col min="14342" max="14342" width="25.42578125" style="8" bestFit="1" customWidth="1"/>
    <col min="14343" max="14345" width="22.42578125" style="8" customWidth="1"/>
    <col min="14346" max="14346" width="14.5703125" style="8" customWidth="1"/>
    <col min="14347" max="14347" width="13.28515625" style="8" bestFit="1" customWidth="1"/>
    <col min="14348" max="14348" width="11.7109375" style="8" bestFit="1" customWidth="1"/>
    <col min="14349" max="14594" width="9.140625" style="8"/>
    <col min="14595" max="14595" width="7.28515625" style="8" customWidth="1"/>
    <col min="14596" max="14596" width="81.85546875" style="8" customWidth="1"/>
    <col min="14597" max="14597" width="25.85546875" style="8" customWidth="1"/>
    <col min="14598" max="14598" width="25.42578125" style="8" bestFit="1" customWidth="1"/>
    <col min="14599" max="14601" width="22.42578125" style="8" customWidth="1"/>
    <col min="14602" max="14602" width="14.5703125" style="8" customWidth="1"/>
    <col min="14603" max="14603" width="13.28515625" style="8" bestFit="1" customWidth="1"/>
    <col min="14604" max="14604" width="11.7109375" style="8" bestFit="1" customWidth="1"/>
    <col min="14605" max="14850" width="9.140625" style="8"/>
    <col min="14851" max="14851" width="7.28515625" style="8" customWidth="1"/>
    <col min="14852" max="14852" width="81.85546875" style="8" customWidth="1"/>
    <col min="14853" max="14853" width="25.85546875" style="8" customWidth="1"/>
    <col min="14854" max="14854" width="25.42578125" style="8" bestFit="1" customWidth="1"/>
    <col min="14855" max="14857" width="22.42578125" style="8" customWidth="1"/>
    <col min="14858" max="14858" width="14.5703125" style="8" customWidth="1"/>
    <col min="14859" max="14859" width="13.28515625" style="8" bestFit="1" customWidth="1"/>
    <col min="14860" max="14860" width="11.7109375" style="8" bestFit="1" customWidth="1"/>
    <col min="14861" max="15106" width="9.140625" style="8"/>
    <col min="15107" max="15107" width="7.28515625" style="8" customWidth="1"/>
    <col min="15108" max="15108" width="81.85546875" style="8" customWidth="1"/>
    <col min="15109" max="15109" width="25.85546875" style="8" customWidth="1"/>
    <col min="15110" max="15110" width="25.42578125" style="8" bestFit="1" customWidth="1"/>
    <col min="15111" max="15113" width="22.42578125" style="8" customWidth="1"/>
    <col min="15114" max="15114" width="14.5703125" style="8" customWidth="1"/>
    <col min="15115" max="15115" width="13.28515625" style="8" bestFit="1" customWidth="1"/>
    <col min="15116" max="15116" width="11.7109375" style="8" bestFit="1" customWidth="1"/>
    <col min="15117" max="15362" width="9.140625" style="8"/>
    <col min="15363" max="15363" width="7.28515625" style="8" customWidth="1"/>
    <col min="15364" max="15364" width="81.85546875" style="8" customWidth="1"/>
    <col min="15365" max="15365" width="25.85546875" style="8" customWidth="1"/>
    <col min="15366" max="15366" width="25.42578125" style="8" bestFit="1" customWidth="1"/>
    <col min="15367" max="15369" width="22.42578125" style="8" customWidth="1"/>
    <col min="15370" max="15370" width="14.5703125" style="8" customWidth="1"/>
    <col min="15371" max="15371" width="13.28515625" style="8" bestFit="1" customWidth="1"/>
    <col min="15372" max="15372" width="11.7109375" style="8" bestFit="1" customWidth="1"/>
    <col min="15373" max="15618" width="9.140625" style="8"/>
    <col min="15619" max="15619" width="7.28515625" style="8" customWidth="1"/>
    <col min="15620" max="15620" width="81.85546875" style="8" customWidth="1"/>
    <col min="15621" max="15621" width="25.85546875" style="8" customWidth="1"/>
    <col min="15622" max="15622" width="25.42578125" style="8" bestFit="1" customWidth="1"/>
    <col min="15623" max="15625" width="22.42578125" style="8" customWidth="1"/>
    <col min="15626" max="15626" width="14.5703125" style="8" customWidth="1"/>
    <col min="15627" max="15627" width="13.28515625" style="8" bestFit="1" customWidth="1"/>
    <col min="15628" max="15628" width="11.7109375" style="8" bestFit="1" customWidth="1"/>
    <col min="15629" max="15874" width="9.140625" style="8"/>
    <col min="15875" max="15875" width="7.28515625" style="8" customWidth="1"/>
    <col min="15876" max="15876" width="81.85546875" style="8" customWidth="1"/>
    <col min="15877" max="15877" width="25.85546875" style="8" customWidth="1"/>
    <col min="15878" max="15878" width="25.42578125" style="8" bestFit="1" customWidth="1"/>
    <col min="15879" max="15881" width="22.42578125" style="8" customWidth="1"/>
    <col min="15882" max="15882" width="14.5703125" style="8" customWidth="1"/>
    <col min="15883" max="15883" width="13.28515625" style="8" bestFit="1" customWidth="1"/>
    <col min="15884" max="15884" width="11.7109375" style="8" bestFit="1" customWidth="1"/>
    <col min="15885" max="16130" width="9.140625" style="8"/>
    <col min="16131" max="16131" width="7.28515625" style="8" customWidth="1"/>
    <col min="16132" max="16132" width="81.85546875" style="8" customWidth="1"/>
    <col min="16133" max="16133" width="25.85546875" style="8" customWidth="1"/>
    <col min="16134" max="16134" width="25.42578125" style="8" bestFit="1" customWidth="1"/>
    <col min="16135" max="16137" width="22.42578125" style="8" customWidth="1"/>
    <col min="16138" max="16138" width="14.5703125" style="8" customWidth="1"/>
    <col min="16139" max="16139" width="13.28515625" style="8" bestFit="1" customWidth="1"/>
    <col min="16140" max="16140" width="11.7109375" style="8" bestFit="1" customWidth="1"/>
    <col min="16141" max="16384" width="9.140625" style="8"/>
  </cols>
  <sheetData>
    <row r="1" spans="1:31" ht="41.25" customHeight="1" x14ac:dyDescent="0.2">
      <c r="D1" s="7"/>
      <c r="E1" s="5" t="s">
        <v>0</v>
      </c>
      <c r="F1" s="5"/>
      <c r="G1" s="5"/>
      <c r="H1" s="5"/>
      <c r="I1" s="5"/>
      <c r="J1" s="5"/>
      <c r="K1" s="5"/>
      <c r="L1" s="5"/>
      <c r="M1" s="5"/>
      <c r="N1" s="5"/>
      <c r="O1" s="5"/>
      <c r="P1" s="5"/>
      <c r="Q1" s="5"/>
      <c r="R1" s="5"/>
      <c r="S1" s="7"/>
      <c r="T1" s="7"/>
      <c r="U1" s="7"/>
      <c r="V1" s="7"/>
      <c r="W1" s="7"/>
      <c r="X1" s="7"/>
      <c r="Y1" s="7"/>
      <c r="Z1" s="7"/>
      <c r="AA1" s="7"/>
      <c r="AB1" s="7"/>
      <c r="AC1" s="7"/>
      <c r="AD1" s="7"/>
      <c r="AE1" s="7"/>
    </row>
    <row r="2" spans="1:31" ht="17.100000000000001" customHeight="1" x14ac:dyDescent="0.2">
      <c r="A2" s="4" t="s">
        <v>340</v>
      </c>
      <c r="B2" s="4"/>
      <c r="C2" s="4"/>
      <c r="D2" s="4"/>
      <c r="E2" s="4"/>
      <c r="F2" s="4"/>
      <c r="G2" s="4"/>
      <c r="H2" s="4"/>
      <c r="I2" s="4"/>
    </row>
    <row r="3" spans="1:31" ht="17.100000000000001" customHeight="1" x14ac:dyDescent="0.2">
      <c r="A3" s="4" t="s">
        <v>341</v>
      </c>
      <c r="B3" s="4"/>
      <c r="C3" s="4"/>
      <c r="D3" s="4"/>
      <c r="E3" s="4"/>
      <c r="F3" s="4"/>
      <c r="G3" s="4"/>
      <c r="H3" s="4"/>
      <c r="I3" s="4"/>
    </row>
    <row r="4" spans="1:31" ht="17.100000000000001" customHeight="1" x14ac:dyDescent="0.2">
      <c r="A4" s="3" t="s">
        <v>1</v>
      </c>
      <c r="B4" s="3"/>
      <c r="C4" s="3"/>
      <c r="D4" s="3"/>
      <c r="E4" s="9"/>
      <c r="F4" s="10" t="s">
        <v>2</v>
      </c>
      <c r="G4" s="10" t="s">
        <v>3</v>
      </c>
      <c r="H4" s="10" t="s">
        <v>4</v>
      </c>
      <c r="I4" s="10" t="s">
        <v>5</v>
      </c>
      <c r="J4" s="10" t="s">
        <v>6</v>
      </c>
      <c r="K4" s="10" t="s">
        <v>7</v>
      </c>
      <c r="L4" s="10" t="s">
        <v>8</v>
      </c>
      <c r="M4" s="10" t="s">
        <v>9</v>
      </c>
      <c r="N4" s="10" t="s">
        <v>10</v>
      </c>
      <c r="O4" s="10" t="s">
        <v>11</v>
      </c>
      <c r="P4" s="10" t="s">
        <v>12</v>
      </c>
      <c r="Q4" s="10" t="s">
        <v>13</v>
      </c>
      <c r="R4" s="10" t="s">
        <v>14</v>
      </c>
      <c r="S4" s="10" t="s">
        <v>15</v>
      </c>
      <c r="T4" s="10" t="s">
        <v>16</v>
      </c>
      <c r="U4" s="10" t="s">
        <v>17</v>
      </c>
      <c r="V4" s="10" t="s">
        <v>18</v>
      </c>
      <c r="W4" s="10" t="s">
        <v>19</v>
      </c>
      <c r="X4" s="10" t="s">
        <v>20</v>
      </c>
      <c r="Y4" s="10" t="s">
        <v>21</v>
      </c>
      <c r="Z4" s="10" t="s">
        <v>22</v>
      </c>
      <c r="AA4" s="10" t="s">
        <v>23</v>
      </c>
      <c r="AB4" s="10" t="s">
        <v>24</v>
      </c>
      <c r="AC4" s="10" t="s">
        <v>25</v>
      </c>
      <c r="AD4" s="10" t="s">
        <v>26</v>
      </c>
      <c r="AE4" s="10" t="s">
        <v>27</v>
      </c>
    </row>
    <row r="5" spans="1:31" ht="33.75" customHeight="1" x14ac:dyDescent="0.2">
      <c r="A5" s="11" t="s">
        <v>28</v>
      </c>
      <c r="B5" s="11"/>
      <c r="C5" s="11"/>
      <c r="D5" s="9" t="s">
        <v>29</v>
      </c>
      <c r="E5" s="12" t="s">
        <v>30</v>
      </c>
      <c r="F5" s="13" t="s">
        <v>31</v>
      </c>
      <c r="G5" s="13" t="s">
        <v>32</v>
      </c>
      <c r="H5" s="13" t="s">
        <v>33</v>
      </c>
      <c r="I5" s="13" t="s">
        <v>34</v>
      </c>
      <c r="J5" s="13" t="s">
        <v>35</v>
      </c>
      <c r="K5" s="13" t="s">
        <v>36</v>
      </c>
      <c r="L5" s="13" t="s">
        <v>37</v>
      </c>
      <c r="M5" s="13" t="s">
        <v>38</v>
      </c>
      <c r="N5" s="13" t="s">
        <v>39</v>
      </c>
      <c r="O5" s="13" t="s">
        <v>40</v>
      </c>
      <c r="P5" s="13" t="s">
        <v>41</v>
      </c>
      <c r="Q5" s="13" t="s">
        <v>42</v>
      </c>
      <c r="R5" s="13" t="s">
        <v>43</v>
      </c>
      <c r="S5" s="13" t="s">
        <v>44</v>
      </c>
      <c r="T5" s="13" t="s">
        <v>45</v>
      </c>
      <c r="U5" s="13" t="s">
        <v>46</v>
      </c>
      <c r="V5" s="13" t="s">
        <v>47</v>
      </c>
      <c r="W5" s="13" t="s">
        <v>48</v>
      </c>
      <c r="X5" s="13" t="s">
        <v>49</v>
      </c>
      <c r="Y5" s="13" t="s">
        <v>50</v>
      </c>
      <c r="Z5" s="13" t="s">
        <v>51</v>
      </c>
      <c r="AA5" s="13" t="s">
        <v>52</v>
      </c>
      <c r="AB5" s="13" t="s">
        <v>53</v>
      </c>
      <c r="AC5" s="13" t="s">
        <v>54</v>
      </c>
      <c r="AD5" s="13" t="s">
        <v>55</v>
      </c>
      <c r="AE5" s="13" t="s">
        <v>56</v>
      </c>
    </row>
    <row r="6" spans="1:31" ht="15.95" customHeight="1" x14ac:dyDescent="0.2">
      <c r="A6" s="6">
        <v>1</v>
      </c>
      <c r="D6" s="9" t="s">
        <v>57</v>
      </c>
      <c r="E6" s="9"/>
      <c r="F6" s="9"/>
      <c r="G6" s="9"/>
      <c r="H6" s="9"/>
      <c r="I6" s="9"/>
      <c r="J6" s="9"/>
      <c r="K6" s="9"/>
      <c r="L6" s="9"/>
      <c r="M6" s="9"/>
      <c r="N6" s="9"/>
      <c r="O6" s="9"/>
      <c r="P6" s="9"/>
      <c r="Q6" s="9"/>
      <c r="R6" s="9"/>
      <c r="S6" s="9"/>
      <c r="T6" s="9"/>
      <c r="U6" s="9"/>
      <c r="V6" s="9"/>
      <c r="W6" s="9"/>
      <c r="X6" s="9"/>
      <c r="Y6" s="9"/>
      <c r="Z6" s="9"/>
      <c r="AA6" s="9"/>
      <c r="AB6" s="9"/>
      <c r="AC6" s="9"/>
      <c r="AD6" s="9"/>
      <c r="AE6" s="9"/>
    </row>
    <row r="7" spans="1:31" ht="15.95" hidden="1" customHeight="1" x14ac:dyDescent="0.2">
      <c r="A7" s="6">
        <v>2</v>
      </c>
      <c r="D7" s="14" t="s">
        <v>58</v>
      </c>
      <c r="E7" s="15">
        <f>SUM(F7:I7)</f>
        <v>0</v>
      </c>
      <c r="F7" s="15"/>
      <c r="G7" s="15"/>
      <c r="H7" s="15"/>
      <c r="I7" s="15"/>
      <c r="J7" s="15"/>
      <c r="K7" s="15"/>
      <c r="L7" s="15"/>
      <c r="M7" s="15"/>
      <c r="N7" s="15"/>
      <c r="O7" s="15"/>
      <c r="P7" s="15"/>
      <c r="Q7" s="15"/>
      <c r="R7" s="15"/>
      <c r="S7" s="15"/>
      <c r="T7" s="15"/>
      <c r="U7" s="15"/>
      <c r="V7" s="15"/>
      <c r="W7" s="15"/>
      <c r="X7" s="15"/>
      <c r="Y7" s="15"/>
      <c r="Z7" s="15"/>
      <c r="AA7" s="15"/>
      <c r="AB7" s="15"/>
      <c r="AC7" s="15"/>
      <c r="AD7" s="15"/>
      <c r="AE7" s="15"/>
    </row>
    <row r="8" spans="1:31" ht="15.95" hidden="1" customHeight="1" x14ac:dyDescent="0.2">
      <c r="A8" s="6">
        <v>3</v>
      </c>
      <c r="D8" s="14" t="s">
        <v>59</v>
      </c>
      <c r="E8" s="15">
        <f>SUM(F8:I8)</f>
        <v>0</v>
      </c>
      <c r="F8" s="15"/>
      <c r="G8" s="15"/>
      <c r="H8" s="15"/>
      <c r="I8" s="15"/>
      <c r="J8" s="15"/>
      <c r="K8" s="15"/>
      <c r="L8" s="15"/>
      <c r="M8" s="15"/>
      <c r="N8" s="15"/>
      <c r="O8" s="15"/>
      <c r="P8" s="15"/>
      <c r="Q8" s="15"/>
      <c r="R8" s="15"/>
      <c r="S8" s="15"/>
      <c r="T8" s="15"/>
      <c r="U8" s="15"/>
      <c r="V8" s="15"/>
      <c r="W8" s="15"/>
      <c r="X8" s="15"/>
      <c r="Y8" s="15"/>
      <c r="Z8" s="15"/>
      <c r="AA8" s="15"/>
      <c r="AB8" s="15"/>
      <c r="AC8" s="15"/>
      <c r="AD8" s="15"/>
      <c r="AE8" s="15"/>
    </row>
    <row r="9" spans="1:31" ht="15.95" hidden="1" customHeight="1" x14ac:dyDescent="0.2">
      <c r="A9" s="6">
        <v>4</v>
      </c>
      <c r="D9" s="14" t="s">
        <v>60</v>
      </c>
      <c r="E9" s="15">
        <f>SUM(F9:I9)</f>
        <v>0</v>
      </c>
      <c r="F9" s="15"/>
      <c r="G9" s="15"/>
      <c r="H9" s="15"/>
      <c r="I9" s="15"/>
      <c r="J9" s="15"/>
      <c r="K9" s="15"/>
      <c r="L9" s="15"/>
      <c r="M9" s="15"/>
      <c r="N9" s="15"/>
      <c r="O9" s="15"/>
      <c r="P9" s="15"/>
      <c r="Q9" s="15"/>
      <c r="R9" s="15"/>
      <c r="S9" s="15"/>
      <c r="T9" s="15"/>
      <c r="U9" s="15"/>
      <c r="V9" s="15"/>
      <c r="W9" s="15"/>
      <c r="X9" s="15"/>
      <c r="Y9" s="15"/>
      <c r="Z9" s="15"/>
      <c r="AA9" s="15"/>
      <c r="AB9" s="15"/>
      <c r="AC9" s="15"/>
      <c r="AD9" s="15"/>
      <c r="AE9" s="15"/>
    </row>
    <row r="10" spans="1:31" ht="15.95" hidden="1" customHeight="1" x14ac:dyDescent="0.2">
      <c r="A10" s="6">
        <v>5</v>
      </c>
      <c r="D10" s="14" t="s">
        <v>61</v>
      </c>
      <c r="E10" s="15">
        <f>SUM(F10:I10)</f>
        <v>0</v>
      </c>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row>
    <row r="11" spans="1:31" ht="15.95" customHeight="1" thickBot="1" x14ac:dyDescent="0.25">
      <c r="A11" s="6">
        <v>6</v>
      </c>
      <c r="D11" s="16" t="s">
        <v>62</v>
      </c>
      <c r="E11" s="17">
        <f>SUM(F11:AE11)</f>
        <v>203229120.07673869</v>
      </c>
      <c r="F11" s="17">
        <v>2665248.0774657931</v>
      </c>
      <c r="G11" s="17">
        <v>1550182.5057556448</v>
      </c>
      <c r="H11" s="17">
        <v>1260613.4912939365</v>
      </c>
      <c r="I11" s="17">
        <v>2117761.1261819643</v>
      </c>
      <c r="J11" s="17">
        <v>5677059.8612417728</v>
      </c>
      <c r="K11" s="17">
        <v>3617877.2204347351</v>
      </c>
      <c r="L11" s="17">
        <v>40055075.371976711</v>
      </c>
      <c r="M11" s="17">
        <v>3379358.9457093677</v>
      </c>
      <c r="N11" s="17">
        <v>7754197.9665750833</v>
      </c>
      <c r="O11" s="17">
        <v>3361755.2991969753</v>
      </c>
      <c r="P11" s="17">
        <v>21014720.725269742</v>
      </c>
      <c r="Q11" s="17">
        <v>2984598.4210473169</v>
      </c>
      <c r="R11" s="17">
        <v>4846527.3591674007</v>
      </c>
      <c r="S11" s="17">
        <v>123548.02316477994</v>
      </c>
      <c r="T11" s="17">
        <v>17576584.184717808</v>
      </c>
      <c r="U11" s="17">
        <v>33726395.760661446</v>
      </c>
      <c r="V11" s="17">
        <v>3075179.6940248674</v>
      </c>
      <c r="W11" s="17">
        <v>8174899.0787457051</v>
      </c>
      <c r="X11" s="17">
        <v>12460179.586290564</v>
      </c>
      <c r="Y11" s="17">
        <v>5705873.9173551463</v>
      </c>
      <c r="Z11" s="17">
        <v>738621.33714862727</v>
      </c>
      <c r="AA11" s="17">
        <v>4417022.0234229267</v>
      </c>
      <c r="AB11" s="17">
        <v>2747965.686762284</v>
      </c>
      <c r="AC11" s="17">
        <v>12584708.321003692</v>
      </c>
      <c r="AD11" s="17">
        <v>802904.42891265592</v>
      </c>
      <c r="AE11" s="17">
        <v>810261.66321172903</v>
      </c>
    </row>
    <row r="12" spans="1:31" ht="7.5" customHeight="1" thickTop="1" x14ac:dyDescent="0.2">
      <c r="D12" s="9"/>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row>
    <row r="13" spans="1:31" ht="15.95" customHeight="1" x14ac:dyDescent="0.2">
      <c r="A13" s="6">
        <v>7</v>
      </c>
      <c r="D13" s="19" t="s">
        <v>63</v>
      </c>
      <c r="E13" s="20">
        <f>E11</f>
        <v>203229120.07673869</v>
      </c>
      <c r="F13" s="20">
        <f>ROUND(F11,0)</f>
        <v>2665248</v>
      </c>
      <c r="G13" s="20">
        <f t="shared" ref="G13:AE13" si="0">ROUND(G11,0)</f>
        <v>1550183</v>
      </c>
      <c r="H13" s="20">
        <f t="shared" si="0"/>
        <v>1260613</v>
      </c>
      <c r="I13" s="20">
        <f t="shared" si="0"/>
        <v>2117761</v>
      </c>
      <c r="J13" s="20">
        <f t="shared" si="0"/>
        <v>5677060</v>
      </c>
      <c r="K13" s="20">
        <f t="shared" si="0"/>
        <v>3617877</v>
      </c>
      <c r="L13" s="20">
        <f t="shared" si="0"/>
        <v>40055075</v>
      </c>
      <c r="M13" s="20">
        <f t="shared" si="0"/>
        <v>3379359</v>
      </c>
      <c r="N13" s="20">
        <f t="shared" si="0"/>
        <v>7754198</v>
      </c>
      <c r="O13" s="20">
        <f t="shared" si="0"/>
        <v>3361755</v>
      </c>
      <c r="P13" s="20">
        <f t="shared" si="0"/>
        <v>21014721</v>
      </c>
      <c r="Q13" s="20">
        <f t="shared" si="0"/>
        <v>2984598</v>
      </c>
      <c r="R13" s="20">
        <f t="shared" si="0"/>
        <v>4846527</v>
      </c>
      <c r="S13" s="20">
        <f t="shared" si="0"/>
        <v>123548</v>
      </c>
      <c r="T13" s="20">
        <f t="shared" si="0"/>
        <v>17576584</v>
      </c>
      <c r="U13" s="20">
        <f t="shared" si="0"/>
        <v>33726396</v>
      </c>
      <c r="V13" s="20">
        <f t="shared" si="0"/>
        <v>3075180</v>
      </c>
      <c r="W13" s="20">
        <f t="shared" si="0"/>
        <v>8174899</v>
      </c>
      <c r="X13" s="20">
        <f t="shared" si="0"/>
        <v>12460180</v>
      </c>
      <c r="Y13" s="20">
        <f t="shared" si="0"/>
        <v>5705874</v>
      </c>
      <c r="Z13" s="20">
        <f t="shared" si="0"/>
        <v>738621</v>
      </c>
      <c r="AA13" s="20">
        <f t="shared" si="0"/>
        <v>4417022</v>
      </c>
      <c r="AB13" s="20">
        <f t="shared" si="0"/>
        <v>2747966</v>
      </c>
      <c r="AC13" s="20">
        <f t="shared" si="0"/>
        <v>12584708</v>
      </c>
      <c r="AD13" s="20">
        <f t="shared" si="0"/>
        <v>802904</v>
      </c>
      <c r="AE13" s="20">
        <f t="shared" si="0"/>
        <v>810262</v>
      </c>
    </row>
    <row r="14" spans="1:31" ht="21" customHeight="1" x14ac:dyDescent="0.2">
      <c r="A14" s="6">
        <v>8</v>
      </c>
      <c r="D14" s="21" t="s">
        <v>344</v>
      </c>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row>
    <row r="15" spans="1:31" ht="15.95" customHeight="1" x14ac:dyDescent="0.2">
      <c r="A15" s="6">
        <v>9</v>
      </c>
      <c r="D15" s="9" t="s">
        <v>64</v>
      </c>
      <c r="E15" s="9"/>
      <c r="F15" s="9"/>
      <c r="G15" s="9"/>
      <c r="H15" s="9"/>
      <c r="I15" s="9"/>
      <c r="J15" s="9"/>
      <c r="K15" s="9"/>
      <c r="L15" s="9"/>
      <c r="M15" s="9"/>
      <c r="N15" s="9"/>
      <c r="O15" s="9"/>
      <c r="P15" s="9"/>
      <c r="Q15" s="9"/>
      <c r="R15" s="9"/>
      <c r="S15" s="9"/>
      <c r="T15" s="9"/>
      <c r="U15" s="9"/>
      <c r="V15" s="9"/>
      <c r="W15" s="9"/>
      <c r="X15" s="9"/>
      <c r="Y15" s="9"/>
      <c r="Z15" s="9"/>
      <c r="AA15" s="9"/>
      <c r="AB15" s="9"/>
      <c r="AC15" s="9"/>
      <c r="AD15" s="9"/>
      <c r="AE15" s="9"/>
    </row>
    <row r="16" spans="1:31" ht="15.95" customHeight="1" x14ac:dyDescent="0.2">
      <c r="A16" s="6">
        <v>10</v>
      </c>
      <c r="D16" s="14" t="s">
        <v>65</v>
      </c>
      <c r="E16" s="22">
        <f>SUM(F16:AE16)</f>
        <v>825431</v>
      </c>
      <c r="F16" s="22">
        <v>11575</v>
      </c>
      <c r="G16" s="22">
        <v>5859</v>
      </c>
      <c r="H16" s="22">
        <v>8283</v>
      </c>
      <c r="I16" s="22">
        <v>19176</v>
      </c>
      <c r="J16" s="22">
        <v>23746</v>
      </c>
      <c r="K16" s="22">
        <v>32377</v>
      </c>
      <c r="L16" s="22">
        <v>126596</v>
      </c>
      <c r="M16" s="22">
        <v>15567</v>
      </c>
      <c r="N16" s="22">
        <v>29129</v>
      </c>
      <c r="O16" s="22">
        <v>13352</v>
      </c>
      <c r="P16" s="22">
        <v>109970</v>
      </c>
      <c r="Q16" s="22">
        <v>17733</v>
      </c>
      <c r="R16" s="22">
        <v>24895</v>
      </c>
      <c r="S16" s="22">
        <v>4500</v>
      </c>
      <c r="T16" s="22">
        <v>55898</v>
      </c>
      <c r="U16" s="22">
        <v>91375</v>
      </c>
      <c r="V16" s="22">
        <v>16776</v>
      </c>
      <c r="W16" s="22">
        <v>31511</v>
      </c>
      <c r="X16" s="22">
        <v>66297</v>
      </c>
      <c r="Y16" s="22">
        <v>25255</v>
      </c>
      <c r="Z16" s="22">
        <v>7164</v>
      </c>
      <c r="AA16" s="22">
        <v>19061</v>
      </c>
      <c r="AB16" s="22">
        <v>13014</v>
      </c>
      <c r="AC16" s="22">
        <v>43723</v>
      </c>
      <c r="AD16" s="22">
        <v>6827</v>
      </c>
      <c r="AE16" s="22">
        <v>5772</v>
      </c>
    </row>
    <row r="17" spans="1:31" ht="15.95" customHeight="1" x14ac:dyDescent="0.2">
      <c r="A17" s="6">
        <v>11</v>
      </c>
      <c r="D17" s="14" t="s">
        <v>66</v>
      </c>
      <c r="E17" s="22">
        <f>SUM(F17:AE17)</f>
        <v>2976920.2600000007</v>
      </c>
      <c r="F17" s="22">
        <v>37111.26</v>
      </c>
      <c r="G17" s="22">
        <v>15271.27</v>
      </c>
      <c r="H17" s="22">
        <v>13292.21</v>
      </c>
      <c r="I17" s="22">
        <v>32823.339999999997</v>
      </c>
      <c r="J17" s="22">
        <v>114124.19</v>
      </c>
      <c r="K17" s="22">
        <v>38720.69</v>
      </c>
      <c r="L17" s="22">
        <v>561494.75</v>
      </c>
      <c r="M17" s="22">
        <v>30680.829999999998</v>
      </c>
      <c r="N17" s="22">
        <v>110767.79999999999</v>
      </c>
      <c r="O17" s="22">
        <v>38774.699999999997</v>
      </c>
      <c r="P17" s="22">
        <v>224323.99</v>
      </c>
      <c r="Q17" s="22">
        <v>30932.7</v>
      </c>
      <c r="R17" s="22">
        <v>67699.649999999994</v>
      </c>
      <c r="S17" s="22">
        <v>3077.21</v>
      </c>
      <c r="T17" s="22">
        <v>338849.70999999996</v>
      </c>
      <c r="U17" s="22">
        <v>610201.92000000004</v>
      </c>
      <c r="V17" s="22">
        <v>32815.89</v>
      </c>
      <c r="W17" s="22">
        <v>127591.98</v>
      </c>
      <c r="X17" s="22">
        <v>174075.02</v>
      </c>
      <c r="Y17" s="22">
        <v>92135.08</v>
      </c>
      <c r="Z17" s="22">
        <v>3281.5</v>
      </c>
      <c r="AA17" s="22">
        <v>39156.199999999997</v>
      </c>
      <c r="AB17" s="22">
        <v>50162.18</v>
      </c>
      <c r="AC17" s="22">
        <v>182761.72</v>
      </c>
      <c r="AD17" s="22">
        <v>852.72</v>
      </c>
      <c r="AE17" s="22">
        <v>5941.75</v>
      </c>
    </row>
    <row r="18" spans="1:31" ht="29.25" customHeight="1" x14ac:dyDescent="0.2">
      <c r="A18" s="6">
        <v>12</v>
      </c>
      <c r="D18" s="23" t="s">
        <v>363</v>
      </c>
      <c r="E18" s="24">
        <f>SUM(F18:AE18)</f>
        <v>217000</v>
      </c>
      <c r="F18" s="24"/>
      <c r="G18" s="24"/>
      <c r="H18" s="24"/>
      <c r="I18" s="24"/>
      <c r="J18" s="24">
        <v>31000</v>
      </c>
      <c r="K18" s="22"/>
      <c r="L18" s="22"/>
      <c r="M18" s="22"/>
      <c r="N18" s="22"/>
      <c r="O18" s="24">
        <v>31000</v>
      </c>
      <c r="P18" s="22"/>
      <c r="Q18" s="24">
        <v>31000</v>
      </c>
      <c r="R18" s="22"/>
      <c r="S18" s="22"/>
      <c r="T18" s="24">
        <v>31000</v>
      </c>
      <c r="U18" s="22"/>
      <c r="V18" s="24">
        <v>31000</v>
      </c>
      <c r="W18" s="24">
        <v>31000</v>
      </c>
      <c r="X18" s="22"/>
      <c r="Y18" s="22"/>
      <c r="Z18" s="22"/>
      <c r="AA18" s="22"/>
      <c r="AB18" s="22"/>
      <c r="AC18" s="22"/>
      <c r="AD18" s="24">
        <v>31000</v>
      </c>
      <c r="AE18" s="22"/>
    </row>
    <row r="19" spans="1:31" ht="15.95" customHeight="1" x14ac:dyDescent="0.2">
      <c r="A19" s="6">
        <v>13</v>
      </c>
      <c r="D19" s="14" t="s">
        <v>364</v>
      </c>
      <c r="E19" s="25">
        <f>SUM(F19:AE19)</f>
        <v>4019353</v>
      </c>
      <c r="F19" s="25">
        <f>ROUND(SUM(F16:F18),0)</f>
        <v>48686</v>
      </c>
      <c r="G19" s="25">
        <f t="shared" ref="G19:AE19" si="1">ROUND(SUM(G16:G18),0)</f>
        <v>21130</v>
      </c>
      <c r="H19" s="25">
        <f t="shared" si="1"/>
        <v>21575</v>
      </c>
      <c r="I19" s="25">
        <f t="shared" si="1"/>
        <v>51999</v>
      </c>
      <c r="J19" s="25">
        <f t="shared" si="1"/>
        <v>168870</v>
      </c>
      <c r="K19" s="25">
        <f t="shared" si="1"/>
        <v>71098</v>
      </c>
      <c r="L19" s="25">
        <f t="shared" si="1"/>
        <v>688091</v>
      </c>
      <c r="M19" s="25">
        <f t="shared" si="1"/>
        <v>46248</v>
      </c>
      <c r="N19" s="25">
        <f t="shared" si="1"/>
        <v>139897</v>
      </c>
      <c r="O19" s="25">
        <f t="shared" si="1"/>
        <v>83127</v>
      </c>
      <c r="P19" s="25">
        <f t="shared" si="1"/>
        <v>334294</v>
      </c>
      <c r="Q19" s="25">
        <f t="shared" si="1"/>
        <v>79666</v>
      </c>
      <c r="R19" s="25">
        <f t="shared" si="1"/>
        <v>92595</v>
      </c>
      <c r="S19" s="25">
        <f t="shared" si="1"/>
        <v>7577</v>
      </c>
      <c r="T19" s="25">
        <f t="shared" si="1"/>
        <v>425748</v>
      </c>
      <c r="U19" s="25">
        <f t="shared" si="1"/>
        <v>701577</v>
      </c>
      <c r="V19" s="25">
        <f t="shared" si="1"/>
        <v>80592</v>
      </c>
      <c r="W19" s="25">
        <f t="shared" si="1"/>
        <v>190103</v>
      </c>
      <c r="X19" s="25">
        <f t="shared" si="1"/>
        <v>240372</v>
      </c>
      <c r="Y19" s="25">
        <f t="shared" si="1"/>
        <v>117390</v>
      </c>
      <c r="Z19" s="25">
        <f t="shared" si="1"/>
        <v>10446</v>
      </c>
      <c r="AA19" s="25">
        <f t="shared" si="1"/>
        <v>58217</v>
      </c>
      <c r="AB19" s="25">
        <f t="shared" si="1"/>
        <v>63176</v>
      </c>
      <c r="AC19" s="25">
        <f t="shared" si="1"/>
        <v>226485</v>
      </c>
      <c r="AD19" s="25">
        <f t="shared" si="1"/>
        <v>38680</v>
      </c>
      <c r="AE19" s="25">
        <f t="shared" si="1"/>
        <v>11714</v>
      </c>
    </row>
    <row r="20" spans="1:31" ht="15.95" customHeight="1" x14ac:dyDescent="0.2">
      <c r="A20" s="6">
        <v>14</v>
      </c>
      <c r="D20" s="26" t="s">
        <v>67</v>
      </c>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row>
    <row r="21" spans="1:31" s="30" customFormat="1" ht="15.95" hidden="1" customHeight="1" x14ac:dyDescent="0.2">
      <c r="A21" s="27"/>
      <c r="B21" s="28" t="s">
        <v>68</v>
      </c>
      <c r="C21" s="28" t="s">
        <v>69</v>
      </c>
      <c r="D21" s="28" t="s">
        <v>70</v>
      </c>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row>
    <row r="22" spans="1:31" s="30" customFormat="1" ht="15.95" hidden="1" customHeight="1" outlineLevel="2" x14ac:dyDescent="0.2">
      <c r="A22" s="27"/>
      <c r="B22" s="31" t="s">
        <v>71</v>
      </c>
      <c r="C22" s="31" t="s">
        <v>72</v>
      </c>
      <c r="D22" s="31" t="s">
        <v>221</v>
      </c>
      <c r="E22" s="32">
        <f t="shared" ref="E22:E42" si="2">SUM(F22:AE22)</f>
        <v>1404.837805597936</v>
      </c>
      <c r="F22" s="33">
        <v>731.51</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673.32780559793594</v>
      </c>
      <c r="AD22" s="33">
        <v>0</v>
      </c>
      <c r="AE22" s="33">
        <v>0</v>
      </c>
    </row>
    <row r="23" spans="1:31" s="30" customFormat="1" ht="15.95" hidden="1" customHeight="1" outlineLevel="2" x14ac:dyDescent="0.2">
      <c r="A23" s="27"/>
      <c r="B23" s="31" t="s">
        <v>71</v>
      </c>
      <c r="C23" s="31" t="s">
        <v>73</v>
      </c>
      <c r="D23" s="31" t="s">
        <v>222</v>
      </c>
      <c r="E23" s="32">
        <f t="shared" si="2"/>
        <v>119024.28141858391</v>
      </c>
      <c r="F23" s="33">
        <v>0</v>
      </c>
      <c r="G23" s="33">
        <v>32636.21</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86388.071418583902</v>
      </c>
      <c r="AD23" s="33">
        <v>0</v>
      </c>
      <c r="AE23" s="33">
        <v>0</v>
      </c>
    </row>
    <row r="24" spans="1:31" s="30" customFormat="1" ht="15.95" hidden="1" customHeight="1" outlineLevel="2" x14ac:dyDescent="0.2">
      <c r="A24" s="27"/>
      <c r="B24" s="31" t="s">
        <v>71</v>
      </c>
      <c r="C24" s="31" t="s">
        <v>74</v>
      </c>
      <c r="D24" s="31" t="s">
        <v>223</v>
      </c>
      <c r="E24" s="32">
        <f t="shared" si="2"/>
        <v>17377.150000000001</v>
      </c>
      <c r="F24" s="33">
        <v>0</v>
      </c>
      <c r="G24" s="33">
        <v>0</v>
      </c>
      <c r="H24" s="33">
        <v>17377.150000000001</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s="30" customFormat="1" ht="15.95" hidden="1" customHeight="1" outlineLevel="2" x14ac:dyDescent="0.2">
      <c r="A25" s="27"/>
      <c r="B25" s="31" t="s">
        <v>71</v>
      </c>
      <c r="C25" s="31" t="s">
        <v>75</v>
      </c>
      <c r="D25" s="31" t="s">
        <v>224</v>
      </c>
      <c r="E25" s="32">
        <f t="shared" si="2"/>
        <v>10844.279999999999</v>
      </c>
      <c r="F25" s="33">
        <v>0</v>
      </c>
      <c r="G25" s="33">
        <v>0</v>
      </c>
      <c r="H25" s="33">
        <v>10844.279999999999</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s="30" customFormat="1" ht="15.95" hidden="1" customHeight="1" outlineLevel="2" x14ac:dyDescent="0.2">
      <c r="A26" s="27"/>
      <c r="B26" s="31" t="s">
        <v>71</v>
      </c>
      <c r="C26" s="31" t="s">
        <v>76</v>
      </c>
      <c r="D26" s="31" t="s">
        <v>225</v>
      </c>
      <c r="E26" s="32">
        <f t="shared" si="2"/>
        <v>26958.79</v>
      </c>
      <c r="F26" s="33">
        <v>0</v>
      </c>
      <c r="G26" s="33">
        <v>0</v>
      </c>
      <c r="H26" s="33">
        <v>0</v>
      </c>
      <c r="I26" s="33">
        <v>26958.79</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s="30" customFormat="1" ht="15.95" hidden="1" customHeight="1" outlineLevel="2" x14ac:dyDescent="0.2">
      <c r="A27" s="27"/>
      <c r="B27" s="31" t="s">
        <v>71</v>
      </c>
      <c r="C27" s="31" t="s">
        <v>77</v>
      </c>
      <c r="D27" s="31" t="s">
        <v>226</v>
      </c>
      <c r="E27" s="32">
        <f t="shared" si="2"/>
        <v>14438.49</v>
      </c>
      <c r="F27" s="33">
        <v>0</v>
      </c>
      <c r="G27" s="33">
        <v>0</v>
      </c>
      <c r="H27" s="33">
        <v>0</v>
      </c>
      <c r="I27" s="33">
        <v>0</v>
      </c>
      <c r="J27" s="33">
        <v>14438.49</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s="30" customFormat="1" ht="15.95" hidden="1" customHeight="1" outlineLevel="2" x14ac:dyDescent="0.2">
      <c r="A28" s="27"/>
      <c r="B28" s="31" t="s">
        <v>71</v>
      </c>
      <c r="C28" s="31" t="s">
        <v>78</v>
      </c>
      <c r="D28" s="31" t="s">
        <v>227</v>
      </c>
      <c r="E28" s="32">
        <f t="shared" si="2"/>
        <v>44673.111750218974</v>
      </c>
      <c r="F28" s="33">
        <v>0</v>
      </c>
      <c r="G28" s="33">
        <v>0</v>
      </c>
      <c r="H28" s="33">
        <v>0</v>
      </c>
      <c r="I28" s="33">
        <v>0</v>
      </c>
      <c r="J28" s="33">
        <v>0</v>
      </c>
      <c r="K28" s="33">
        <v>21175.739999999998</v>
      </c>
      <c r="L28" s="33">
        <v>0</v>
      </c>
      <c r="M28" s="33">
        <v>0</v>
      </c>
      <c r="N28" s="33">
        <v>0</v>
      </c>
      <c r="O28" s="33">
        <v>0</v>
      </c>
      <c r="P28" s="33">
        <v>23497.371750218976</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s="30" customFormat="1" ht="15.95" hidden="1" customHeight="1" outlineLevel="2" x14ac:dyDescent="0.2">
      <c r="A29" s="27"/>
      <c r="B29" s="31" t="s">
        <v>71</v>
      </c>
      <c r="C29" s="31" t="s">
        <v>79</v>
      </c>
      <c r="D29" s="31" t="s">
        <v>228</v>
      </c>
      <c r="E29" s="32">
        <f t="shared" si="2"/>
        <v>101119.27499999999</v>
      </c>
      <c r="F29" s="33">
        <v>0</v>
      </c>
      <c r="G29" s="33">
        <v>0</v>
      </c>
      <c r="H29" s="33">
        <v>0</v>
      </c>
      <c r="I29" s="33">
        <v>0</v>
      </c>
      <c r="J29" s="33">
        <v>0</v>
      </c>
      <c r="K29" s="33">
        <v>0</v>
      </c>
      <c r="L29" s="33">
        <v>99192.464999999997</v>
      </c>
      <c r="M29" s="33">
        <v>0</v>
      </c>
      <c r="N29" s="33">
        <v>0</v>
      </c>
      <c r="O29" s="33">
        <v>0</v>
      </c>
      <c r="P29" s="33">
        <v>0</v>
      </c>
      <c r="Q29" s="33">
        <v>0</v>
      </c>
      <c r="R29" s="33">
        <v>0</v>
      </c>
      <c r="S29" s="33">
        <v>0</v>
      </c>
      <c r="T29" s="33">
        <v>0</v>
      </c>
      <c r="U29" s="33">
        <v>0</v>
      </c>
      <c r="V29" s="33">
        <v>0</v>
      </c>
      <c r="W29" s="33">
        <v>0</v>
      </c>
      <c r="X29" s="33">
        <v>0</v>
      </c>
      <c r="Y29" s="33">
        <v>1926.81</v>
      </c>
      <c r="Z29" s="33">
        <v>0</v>
      </c>
      <c r="AA29" s="33">
        <v>0</v>
      </c>
      <c r="AB29" s="33">
        <v>0</v>
      </c>
      <c r="AC29" s="33">
        <v>0</v>
      </c>
      <c r="AD29" s="33">
        <v>0</v>
      </c>
      <c r="AE29" s="33">
        <v>0</v>
      </c>
    </row>
    <row r="30" spans="1:31" s="30" customFormat="1" ht="15.95" hidden="1" customHeight="1" outlineLevel="2" x14ac:dyDescent="0.2">
      <c r="A30" s="27"/>
      <c r="B30" s="31" t="s">
        <v>71</v>
      </c>
      <c r="C30" s="31" t="s">
        <v>80</v>
      </c>
      <c r="D30" s="31" t="s">
        <v>229</v>
      </c>
      <c r="E30" s="32">
        <f t="shared" si="2"/>
        <v>44835.915000000001</v>
      </c>
      <c r="F30" s="33">
        <v>0</v>
      </c>
      <c r="G30" s="33">
        <v>0</v>
      </c>
      <c r="H30" s="33">
        <v>0</v>
      </c>
      <c r="I30" s="33">
        <v>0</v>
      </c>
      <c r="J30" s="33">
        <v>0</v>
      </c>
      <c r="K30" s="33">
        <v>0</v>
      </c>
      <c r="L30" s="33">
        <v>0</v>
      </c>
      <c r="M30" s="33">
        <v>44835.915000000001</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s="30" customFormat="1" ht="15.95" hidden="1" customHeight="1" outlineLevel="2" x14ac:dyDescent="0.2">
      <c r="A31" s="27"/>
      <c r="B31" s="31" t="s">
        <v>71</v>
      </c>
      <c r="C31" s="31" t="s">
        <v>81</v>
      </c>
      <c r="D31" s="31" t="s">
        <v>230</v>
      </c>
      <c r="E31" s="32">
        <f t="shared" si="2"/>
        <v>49621.974045030649</v>
      </c>
      <c r="F31" s="33">
        <v>0</v>
      </c>
      <c r="G31" s="33">
        <v>0</v>
      </c>
      <c r="H31" s="33">
        <v>0</v>
      </c>
      <c r="I31" s="33">
        <v>0</v>
      </c>
      <c r="J31" s="33">
        <v>0</v>
      </c>
      <c r="K31" s="33">
        <v>0</v>
      </c>
      <c r="L31" s="33">
        <v>0</v>
      </c>
      <c r="M31" s="33">
        <v>0</v>
      </c>
      <c r="N31" s="33">
        <v>0</v>
      </c>
      <c r="O31" s="33">
        <v>49548.13</v>
      </c>
      <c r="P31" s="33">
        <v>73.844045030651401</v>
      </c>
      <c r="Q31" s="33">
        <v>0</v>
      </c>
      <c r="R31" s="33">
        <v>0</v>
      </c>
      <c r="S31" s="33">
        <v>0</v>
      </c>
      <c r="T31" s="33">
        <v>0</v>
      </c>
      <c r="U31" s="33">
        <v>0</v>
      </c>
      <c r="V31" s="33">
        <v>0</v>
      </c>
      <c r="W31" s="33">
        <v>0</v>
      </c>
      <c r="X31" s="33">
        <v>0</v>
      </c>
      <c r="Y31" s="33">
        <v>0</v>
      </c>
      <c r="Z31" s="33">
        <v>0</v>
      </c>
      <c r="AA31" s="33">
        <v>0</v>
      </c>
      <c r="AB31" s="33">
        <v>0</v>
      </c>
      <c r="AC31" s="33">
        <v>0</v>
      </c>
      <c r="AD31" s="33">
        <v>0</v>
      </c>
      <c r="AE31" s="33">
        <v>0</v>
      </c>
    </row>
    <row r="32" spans="1:31" s="30" customFormat="1" ht="15.95" hidden="1" customHeight="1" outlineLevel="2" x14ac:dyDescent="0.2">
      <c r="A32" s="27"/>
      <c r="B32" s="31" t="s">
        <v>71</v>
      </c>
      <c r="C32" s="31" t="s">
        <v>82</v>
      </c>
      <c r="D32" s="31" t="s">
        <v>231</v>
      </c>
      <c r="E32" s="32">
        <f t="shared" si="2"/>
        <v>50083.727991717693</v>
      </c>
      <c r="F32" s="33">
        <v>0</v>
      </c>
      <c r="G32" s="33">
        <v>0</v>
      </c>
      <c r="H32" s="33">
        <v>0</v>
      </c>
      <c r="I32" s="33">
        <v>0</v>
      </c>
      <c r="J32" s="33">
        <v>0</v>
      </c>
      <c r="K32" s="33">
        <v>0</v>
      </c>
      <c r="L32" s="33">
        <v>0</v>
      </c>
      <c r="M32" s="33">
        <v>0</v>
      </c>
      <c r="N32" s="33">
        <v>0</v>
      </c>
      <c r="O32" s="33">
        <v>0</v>
      </c>
      <c r="P32" s="33">
        <v>30082.217991717691</v>
      </c>
      <c r="Q32" s="33">
        <v>20001.509999999998</v>
      </c>
      <c r="R32" s="33">
        <v>0</v>
      </c>
      <c r="S32" s="33">
        <v>0</v>
      </c>
      <c r="T32" s="33">
        <v>0</v>
      </c>
      <c r="U32" s="33">
        <v>0</v>
      </c>
      <c r="V32" s="33">
        <v>0</v>
      </c>
      <c r="W32" s="33">
        <v>0</v>
      </c>
      <c r="X32" s="33">
        <v>0</v>
      </c>
      <c r="Y32" s="33">
        <v>0</v>
      </c>
      <c r="Z32" s="33">
        <v>0</v>
      </c>
      <c r="AA32" s="33">
        <v>0</v>
      </c>
      <c r="AB32" s="33">
        <v>0</v>
      </c>
      <c r="AC32" s="33">
        <v>0</v>
      </c>
      <c r="AD32" s="33">
        <v>0</v>
      </c>
      <c r="AE32" s="33">
        <v>0</v>
      </c>
    </row>
    <row r="33" spans="1:31" s="30" customFormat="1" ht="15.95" hidden="1" customHeight="1" outlineLevel="2" x14ac:dyDescent="0.2">
      <c r="A33" s="27"/>
      <c r="B33" s="31" t="s">
        <v>71</v>
      </c>
      <c r="C33" s="31" t="s">
        <v>83</v>
      </c>
      <c r="D33" s="31" t="s">
        <v>232</v>
      </c>
      <c r="E33" s="32">
        <f t="shared" si="2"/>
        <v>8988.9406274420689</v>
      </c>
      <c r="F33" s="33">
        <v>0</v>
      </c>
      <c r="G33" s="33">
        <v>0</v>
      </c>
      <c r="H33" s="33">
        <v>0</v>
      </c>
      <c r="I33" s="33">
        <v>0</v>
      </c>
      <c r="J33" s="33">
        <v>0</v>
      </c>
      <c r="K33" s="33">
        <v>0</v>
      </c>
      <c r="L33" s="33">
        <v>0</v>
      </c>
      <c r="M33" s="33">
        <v>0</v>
      </c>
      <c r="N33" s="33">
        <v>4821.78</v>
      </c>
      <c r="O33" s="33">
        <v>0</v>
      </c>
      <c r="P33" s="33">
        <v>0</v>
      </c>
      <c r="Q33" s="33">
        <v>0</v>
      </c>
      <c r="R33" s="33">
        <v>0</v>
      </c>
      <c r="S33" s="33">
        <v>0</v>
      </c>
      <c r="T33" s="33">
        <v>0</v>
      </c>
      <c r="U33" s="33">
        <v>0</v>
      </c>
      <c r="V33" s="33">
        <v>0</v>
      </c>
      <c r="W33" s="33">
        <v>0</v>
      </c>
      <c r="X33" s="33">
        <v>0</v>
      </c>
      <c r="Y33" s="33">
        <v>0</v>
      </c>
      <c r="Z33" s="33">
        <v>0</v>
      </c>
      <c r="AA33" s="33">
        <v>0</v>
      </c>
      <c r="AB33" s="33">
        <v>0</v>
      </c>
      <c r="AC33" s="33">
        <v>4167.1606274420701</v>
      </c>
      <c r="AD33" s="33">
        <v>0</v>
      </c>
      <c r="AE33" s="33">
        <v>0</v>
      </c>
    </row>
    <row r="34" spans="1:31" s="30" customFormat="1" ht="15.95" hidden="1" customHeight="1" outlineLevel="2" x14ac:dyDescent="0.2">
      <c r="A34" s="27"/>
      <c r="B34" s="31" t="s">
        <v>71</v>
      </c>
      <c r="C34" s="31" t="s">
        <v>84</v>
      </c>
      <c r="D34" s="31" t="s">
        <v>233</v>
      </c>
      <c r="E34" s="32">
        <f t="shared" si="2"/>
        <v>65269.05</v>
      </c>
      <c r="F34" s="33">
        <v>0</v>
      </c>
      <c r="G34" s="33">
        <v>0</v>
      </c>
      <c r="H34" s="33">
        <v>0</v>
      </c>
      <c r="I34" s="33">
        <v>0</v>
      </c>
      <c r="J34" s="33">
        <v>0</v>
      </c>
      <c r="K34" s="33">
        <v>0</v>
      </c>
      <c r="L34" s="33">
        <v>0</v>
      </c>
      <c r="M34" s="33">
        <v>0</v>
      </c>
      <c r="N34" s="33">
        <v>0</v>
      </c>
      <c r="O34" s="33">
        <v>0</v>
      </c>
      <c r="P34" s="33">
        <v>0</v>
      </c>
      <c r="Q34" s="33">
        <v>0</v>
      </c>
      <c r="R34" s="33">
        <v>65269.05</v>
      </c>
      <c r="S34" s="33">
        <v>0</v>
      </c>
      <c r="T34" s="33">
        <v>0</v>
      </c>
      <c r="U34" s="33">
        <v>0</v>
      </c>
      <c r="V34" s="33">
        <v>0</v>
      </c>
      <c r="W34" s="33">
        <v>0</v>
      </c>
      <c r="X34" s="33">
        <v>0</v>
      </c>
      <c r="Y34" s="33">
        <v>0</v>
      </c>
      <c r="Z34" s="33">
        <v>0</v>
      </c>
      <c r="AA34" s="33">
        <v>0</v>
      </c>
      <c r="AB34" s="33">
        <v>0</v>
      </c>
      <c r="AC34" s="33">
        <v>0</v>
      </c>
      <c r="AD34" s="33">
        <v>0</v>
      </c>
      <c r="AE34" s="33">
        <v>0</v>
      </c>
    </row>
    <row r="35" spans="1:31" s="30" customFormat="1" ht="15.95" hidden="1" customHeight="1" outlineLevel="2" x14ac:dyDescent="0.2">
      <c r="A35" s="27"/>
      <c r="B35" s="31" t="s">
        <v>71</v>
      </c>
      <c r="C35" s="31" t="s">
        <v>85</v>
      </c>
      <c r="D35" s="31" t="s">
        <v>234</v>
      </c>
      <c r="E35" s="32">
        <f t="shared" si="2"/>
        <v>87040.044999999998</v>
      </c>
      <c r="F35" s="33">
        <v>0</v>
      </c>
      <c r="G35" s="33">
        <v>0</v>
      </c>
      <c r="H35" s="33">
        <v>0</v>
      </c>
      <c r="I35" s="33">
        <v>0</v>
      </c>
      <c r="J35" s="33">
        <v>0</v>
      </c>
      <c r="K35" s="33">
        <v>0</v>
      </c>
      <c r="L35" s="33">
        <v>0</v>
      </c>
      <c r="M35" s="33">
        <v>0</v>
      </c>
      <c r="N35" s="33">
        <v>0</v>
      </c>
      <c r="O35" s="33">
        <v>0</v>
      </c>
      <c r="P35" s="33">
        <v>0</v>
      </c>
      <c r="Q35" s="33">
        <v>0</v>
      </c>
      <c r="R35" s="33">
        <v>0</v>
      </c>
      <c r="S35" s="33">
        <v>0</v>
      </c>
      <c r="T35" s="33">
        <v>87040.044999999998</v>
      </c>
      <c r="U35" s="33">
        <v>0</v>
      </c>
      <c r="V35" s="33">
        <v>0</v>
      </c>
      <c r="W35" s="33">
        <v>0</v>
      </c>
      <c r="X35" s="33">
        <v>0</v>
      </c>
      <c r="Y35" s="33">
        <v>0</v>
      </c>
      <c r="Z35" s="33">
        <v>0</v>
      </c>
      <c r="AA35" s="33">
        <v>0</v>
      </c>
      <c r="AB35" s="33">
        <v>0</v>
      </c>
      <c r="AC35" s="33">
        <v>0</v>
      </c>
      <c r="AD35" s="33">
        <v>0</v>
      </c>
      <c r="AE35" s="33">
        <v>0</v>
      </c>
    </row>
    <row r="36" spans="1:31" s="30" customFormat="1" ht="15.95" hidden="1" customHeight="1" outlineLevel="2" x14ac:dyDescent="0.2">
      <c r="A36" s="27"/>
      <c r="B36" s="31" t="s">
        <v>71</v>
      </c>
      <c r="C36" s="31" t="s">
        <v>86</v>
      </c>
      <c r="D36" s="31" t="s">
        <v>235</v>
      </c>
      <c r="E36" s="32">
        <f t="shared" si="2"/>
        <v>864962.33000000007</v>
      </c>
      <c r="F36" s="33">
        <v>0</v>
      </c>
      <c r="G36" s="33">
        <v>0</v>
      </c>
      <c r="H36" s="33">
        <v>0</v>
      </c>
      <c r="I36" s="33">
        <v>0</v>
      </c>
      <c r="J36" s="33">
        <v>0</v>
      </c>
      <c r="K36" s="33">
        <v>0</v>
      </c>
      <c r="L36" s="33">
        <v>0</v>
      </c>
      <c r="M36" s="33">
        <v>0</v>
      </c>
      <c r="N36" s="33">
        <v>0</v>
      </c>
      <c r="O36" s="33">
        <v>0</v>
      </c>
      <c r="P36" s="33">
        <v>0</v>
      </c>
      <c r="Q36" s="33">
        <v>0</v>
      </c>
      <c r="R36" s="33">
        <v>0</v>
      </c>
      <c r="S36" s="33">
        <v>0</v>
      </c>
      <c r="T36" s="33">
        <v>0</v>
      </c>
      <c r="U36" s="33">
        <v>864962.33000000007</v>
      </c>
      <c r="V36" s="33">
        <v>0</v>
      </c>
      <c r="W36" s="33">
        <v>0</v>
      </c>
      <c r="X36" s="33">
        <v>0</v>
      </c>
      <c r="Y36" s="33">
        <v>0</v>
      </c>
      <c r="Z36" s="33">
        <v>0</v>
      </c>
      <c r="AA36" s="33">
        <v>0</v>
      </c>
      <c r="AB36" s="33">
        <v>0</v>
      </c>
      <c r="AC36" s="33">
        <v>0</v>
      </c>
      <c r="AD36" s="33">
        <v>0</v>
      </c>
      <c r="AE36" s="33">
        <v>0</v>
      </c>
    </row>
    <row r="37" spans="1:31" s="30" customFormat="1" ht="15.95" hidden="1" customHeight="1" outlineLevel="2" x14ac:dyDescent="0.2">
      <c r="A37" s="27"/>
      <c r="B37" s="31" t="s">
        <v>71</v>
      </c>
      <c r="C37" s="31" t="s">
        <v>87</v>
      </c>
      <c r="D37" s="31" t="s">
        <v>236</v>
      </c>
      <c r="E37" s="32">
        <f t="shared" si="2"/>
        <v>2440.39</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2440.39</v>
      </c>
      <c r="W37" s="33">
        <v>0</v>
      </c>
      <c r="X37" s="33">
        <v>0</v>
      </c>
      <c r="Y37" s="33">
        <v>0</v>
      </c>
      <c r="Z37" s="33">
        <v>0</v>
      </c>
      <c r="AA37" s="33">
        <v>0</v>
      </c>
      <c r="AB37" s="33">
        <v>0</v>
      </c>
      <c r="AC37" s="33">
        <v>0</v>
      </c>
      <c r="AD37" s="33">
        <v>0</v>
      </c>
      <c r="AE37" s="33">
        <v>0</v>
      </c>
    </row>
    <row r="38" spans="1:31" s="30" customFormat="1" ht="15.95" hidden="1" customHeight="1" outlineLevel="2" x14ac:dyDescent="0.2">
      <c r="A38" s="27"/>
      <c r="B38" s="31" t="s">
        <v>71</v>
      </c>
      <c r="C38" s="31" t="s">
        <v>88</v>
      </c>
      <c r="D38" s="31" t="s">
        <v>237</v>
      </c>
      <c r="E38" s="32">
        <f t="shared" si="2"/>
        <v>656601.79143980588</v>
      </c>
      <c r="F38" s="33">
        <v>0</v>
      </c>
      <c r="G38" s="33">
        <v>0</v>
      </c>
      <c r="H38" s="33">
        <v>0</v>
      </c>
      <c r="I38" s="33">
        <v>0</v>
      </c>
      <c r="J38" s="33">
        <v>0</v>
      </c>
      <c r="K38" s="33">
        <v>0</v>
      </c>
      <c r="L38" s="33">
        <v>0</v>
      </c>
      <c r="M38" s="33">
        <v>0</v>
      </c>
      <c r="N38" s="33">
        <v>0</v>
      </c>
      <c r="O38" s="33">
        <v>0</v>
      </c>
      <c r="P38" s="33">
        <v>605847.98143980594</v>
      </c>
      <c r="Q38" s="33">
        <v>0</v>
      </c>
      <c r="R38" s="33">
        <v>0</v>
      </c>
      <c r="S38" s="33">
        <v>0</v>
      </c>
      <c r="T38" s="33">
        <v>0</v>
      </c>
      <c r="U38" s="33">
        <v>0</v>
      </c>
      <c r="V38" s="33">
        <v>50753.81</v>
      </c>
      <c r="W38" s="33">
        <v>0</v>
      </c>
      <c r="X38" s="33">
        <v>0</v>
      </c>
      <c r="Y38" s="33">
        <v>0</v>
      </c>
      <c r="Z38" s="33">
        <v>0</v>
      </c>
      <c r="AA38" s="33">
        <v>0</v>
      </c>
      <c r="AB38" s="33">
        <v>0</v>
      </c>
      <c r="AC38" s="33">
        <v>0</v>
      </c>
      <c r="AD38" s="33">
        <v>0</v>
      </c>
      <c r="AE38" s="33">
        <v>0</v>
      </c>
    </row>
    <row r="39" spans="1:31" s="30" customFormat="1" ht="15.95" hidden="1" customHeight="1" outlineLevel="2" x14ac:dyDescent="0.2">
      <c r="A39" s="27"/>
      <c r="B39" s="31" t="s">
        <v>71</v>
      </c>
      <c r="C39" s="31" t="s">
        <v>89</v>
      </c>
      <c r="D39" s="31" t="s">
        <v>238</v>
      </c>
      <c r="E39" s="32">
        <f t="shared" si="2"/>
        <v>182467.125</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182467.125</v>
      </c>
      <c r="X39" s="33">
        <v>0</v>
      </c>
      <c r="Y39" s="33">
        <v>0</v>
      </c>
      <c r="Z39" s="33">
        <v>0</v>
      </c>
      <c r="AA39" s="33">
        <v>0</v>
      </c>
      <c r="AB39" s="33">
        <v>0</v>
      </c>
      <c r="AC39" s="33">
        <v>0</v>
      </c>
      <c r="AD39" s="33">
        <v>0</v>
      </c>
      <c r="AE39" s="33">
        <v>0</v>
      </c>
    </row>
    <row r="40" spans="1:31" s="30" customFormat="1" ht="15.95" hidden="1" customHeight="1" outlineLevel="2" x14ac:dyDescent="0.2">
      <c r="A40" s="27"/>
      <c r="B40" s="31" t="s">
        <v>71</v>
      </c>
      <c r="C40" s="31" t="s">
        <v>90</v>
      </c>
      <c r="D40" s="31" t="s">
        <v>239</v>
      </c>
      <c r="E40" s="32">
        <f t="shared" si="2"/>
        <v>988517.39777648961</v>
      </c>
      <c r="F40" s="33">
        <v>0</v>
      </c>
      <c r="G40" s="33">
        <v>0</v>
      </c>
      <c r="H40" s="33">
        <v>0</v>
      </c>
      <c r="I40" s="33">
        <v>0</v>
      </c>
      <c r="J40" s="33">
        <v>0</v>
      </c>
      <c r="K40" s="33">
        <v>0</v>
      </c>
      <c r="L40" s="33">
        <v>0</v>
      </c>
      <c r="M40" s="33">
        <v>0</v>
      </c>
      <c r="N40" s="33">
        <v>0</v>
      </c>
      <c r="O40" s="33">
        <v>0</v>
      </c>
      <c r="P40" s="33">
        <v>753270.67777648964</v>
      </c>
      <c r="Q40" s="33">
        <v>0</v>
      </c>
      <c r="R40" s="33">
        <v>0</v>
      </c>
      <c r="S40" s="33">
        <v>0</v>
      </c>
      <c r="T40" s="33">
        <v>0</v>
      </c>
      <c r="U40" s="33">
        <v>0</v>
      </c>
      <c r="V40" s="33">
        <v>0</v>
      </c>
      <c r="W40" s="33">
        <v>0</v>
      </c>
      <c r="X40" s="33">
        <v>235246.72000000003</v>
      </c>
      <c r="Y40" s="33">
        <v>0</v>
      </c>
      <c r="Z40" s="33">
        <v>0</v>
      </c>
      <c r="AA40" s="33">
        <v>0</v>
      </c>
      <c r="AB40" s="33">
        <v>0</v>
      </c>
      <c r="AC40" s="33">
        <v>0</v>
      </c>
      <c r="AD40" s="33">
        <v>0</v>
      </c>
      <c r="AE40" s="33">
        <v>0</v>
      </c>
    </row>
    <row r="41" spans="1:31" s="30" customFormat="1" ht="15.95" hidden="1" customHeight="1" outlineLevel="2" x14ac:dyDescent="0.2">
      <c r="A41" s="27"/>
      <c r="B41" s="31" t="s">
        <v>71</v>
      </c>
      <c r="C41" s="31" t="s">
        <v>91</v>
      </c>
      <c r="D41" s="31" t="s">
        <v>240</v>
      </c>
      <c r="E41" s="32">
        <f t="shared" si="2"/>
        <v>83614.63</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83614.63</v>
      </c>
      <c r="AB41" s="33">
        <v>0</v>
      </c>
      <c r="AC41" s="33">
        <v>0</v>
      </c>
      <c r="AD41" s="33">
        <v>0</v>
      </c>
      <c r="AE41" s="33">
        <v>0</v>
      </c>
    </row>
    <row r="42" spans="1:31" s="30" customFormat="1" ht="15.95" hidden="1" customHeight="1" outlineLevel="2" x14ac:dyDescent="0.2">
      <c r="A42" s="27"/>
      <c r="B42" s="31" t="s">
        <v>71</v>
      </c>
      <c r="C42" s="31" t="s">
        <v>92</v>
      </c>
      <c r="D42" s="31" t="s">
        <v>241</v>
      </c>
      <c r="E42" s="32">
        <f t="shared" si="2"/>
        <v>1064305.8058610593</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72772.764999999999</v>
      </c>
      <c r="AC42" s="33">
        <v>991533.04086105933</v>
      </c>
      <c r="AD42" s="33">
        <v>0</v>
      </c>
      <c r="AE42" s="33">
        <v>0</v>
      </c>
    </row>
    <row r="43" spans="1:31" s="30" customFormat="1" ht="15.95" customHeight="1" outlineLevel="1" collapsed="1" x14ac:dyDescent="0.2">
      <c r="A43" s="27">
        <v>15</v>
      </c>
      <c r="B43" s="34"/>
      <c r="C43" s="31"/>
      <c r="D43" s="14" t="s">
        <v>93</v>
      </c>
      <c r="E43" s="22">
        <f t="shared" ref="E43:AE43" si="3">SUBTOTAL(9,E22:E42)</f>
        <v>4484589.3387159463</v>
      </c>
      <c r="F43" s="22">
        <f t="shared" si="3"/>
        <v>731.51</v>
      </c>
      <c r="G43" s="22">
        <f t="shared" si="3"/>
        <v>32636.21</v>
      </c>
      <c r="H43" s="22">
        <f t="shared" si="3"/>
        <v>28221.43</v>
      </c>
      <c r="I43" s="22">
        <f t="shared" si="3"/>
        <v>26958.79</v>
      </c>
      <c r="J43" s="22">
        <f t="shared" si="3"/>
        <v>14438.49</v>
      </c>
      <c r="K43" s="22">
        <f t="shared" si="3"/>
        <v>21175.739999999998</v>
      </c>
      <c r="L43" s="22">
        <f t="shared" si="3"/>
        <v>99192.464999999997</v>
      </c>
      <c r="M43" s="22">
        <f t="shared" si="3"/>
        <v>44835.915000000001</v>
      </c>
      <c r="N43" s="22">
        <f t="shared" si="3"/>
        <v>4821.78</v>
      </c>
      <c r="O43" s="22">
        <f t="shared" si="3"/>
        <v>49548.13</v>
      </c>
      <c r="P43" s="22">
        <f t="shared" si="3"/>
        <v>1412772.0930032628</v>
      </c>
      <c r="Q43" s="22">
        <f t="shared" si="3"/>
        <v>20001.509999999998</v>
      </c>
      <c r="R43" s="22">
        <f t="shared" si="3"/>
        <v>65269.05</v>
      </c>
      <c r="S43" s="22">
        <f t="shared" si="3"/>
        <v>0</v>
      </c>
      <c r="T43" s="22">
        <f t="shared" si="3"/>
        <v>87040.044999999998</v>
      </c>
      <c r="U43" s="22">
        <f t="shared" si="3"/>
        <v>864962.33000000007</v>
      </c>
      <c r="V43" s="22">
        <f t="shared" si="3"/>
        <v>53194.2</v>
      </c>
      <c r="W43" s="22">
        <f t="shared" si="3"/>
        <v>182467.125</v>
      </c>
      <c r="X43" s="22">
        <f t="shared" si="3"/>
        <v>235246.72000000003</v>
      </c>
      <c r="Y43" s="22">
        <f t="shared" si="3"/>
        <v>1926.81</v>
      </c>
      <c r="Z43" s="22">
        <f t="shared" si="3"/>
        <v>0</v>
      </c>
      <c r="AA43" s="22">
        <f t="shared" si="3"/>
        <v>83614.63</v>
      </c>
      <c r="AB43" s="22">
        <f t="shared" si="3"/>
        <v>72772.764999999999</v>
      </c>
      <c r="AC43" s="22">
        <f t="shared" si="3"/>
        <v>1082761.6007126833</v>
      </c>
      <c r="AD43" s="22">
        <f t="shared" si="3"/>
        <v>0</v>
      </c>
      <c r="AE43" s="22">
        <f t="shared" si="3"/>
        <v>0</v>
      </c>
    </row>
    <row r="44" spans="1:31" ht="15.95" hidden="1" customHeight="1" outlineLevel="2" x14ac:dyDescent="0.2">
      <c r="B44" s="31" t="s">
        <v>94</v>
      </c>
      <c r="C44" s="31" t="s">
        <v>95</v>
      </c>
      <c r="D44" s="31" t="s">
        <v>242</v>
      </c>
      <c r="E44" s="32">
        <f t="shared" ref="E44:E183" si="4">SUM(F44:AE44)</f>
        <v>15772385.428298548</v>
      </c>
      <c r="F44" s="33">
        <v>1543807.5100000002</v>
      </c>
      <c r="G44" s="33">
        <v>51104.17</v>
      </c>
      <c r="H44" s="33">
        <v>28125.48</v>
      </c>
      <c r="I44" s="33">
        <v>84905.48</v>
      </c>
      <c r="J44" s="33">
        <v>614191.49000000011</v>
      </c>
      <c r="K44" s="33">
        <v>264457.93</v>
      </c>
      <c r="L44" s="33">
        <v>2499875.25</v>
      </c>
      <c r="M44" s="33">
        <v>431205.83999999997</v>
      </c>
      <c r="N44" s="33">
        <v>1650361.2000000002</v>
      </c>
      <c r="O44" s="33">
        <v>128237.68</v>
      </c>
      <c r="P44" s="33">
        <v>2448663.5282195518</v>
      </c>
      <c r="Q44" s="33">
        <v>359378.6</v>
      </c>
      <c r="R44" s="33">
        <v>344545.01</v>
      </c>
      <c r="S44" s="33">
        <v>11288.26</v>
      </c>
      <c r="T44" s="33">
        <v>514309.75</v>
      </c>
      <c r="U44" s="33">
        <v>2201623.39</v>
      </c>
      <c r="V44" s="33">
        <v>33866.639999999999</v>
      </c>
      <c r="W44" s="33">
        <v>596162.8600000001</v>
      </c>
      <c r="X44" s="33">
        <v>562983.02</v>
      </c>
      <c r="Y44" s="33">
        <v>182510.78</v>
      </c>
      <c r="Z44" s="33">
        <v>19584.18</v>
      </c>
      <c r="AA44" s="33">
        <v>304033.26</v>
      </c>
      <c r="AB44" s="33">
        <v>737128</v>
      </c>
      <c r="AC44" s="33">
        <v>77454.890078997298</v>
      </c>
      <c r="AD44" s="33">
        <v>32142.75</v>
      </c>
      <c r="AE44" s="33">
        <v>50438.48</v>
      </c>
    </row>
    <row r="45" spans="1:31" ht="15.95" customHeight="1" outlineLevel="1" collapsed="1" x14ac:dyDescent="0.2">
      <c r="A45" s="6">
        <v>16</v>
      </c>
      <c r="B45" s="34"/>
      <c r="C45" s="31"/>
      <c r="D45" s="14" t="s">
        <v>96</v>
      </c>
      <c r="E45" s="22">
        <f t="shared" ref="E45:AE45" si="5">SUBTOTAL(9,E44:E44)</f>
        <v>15772385.428298548</v>
      </c>
      <c r="F45" s="22">
        <f t="shared" si="5"/>
        <v>1543807.5100000002</v>
      </c>
      <c r="G45" s="22">
        <f t="shared" si="5"/>
        <v>51104.17</v>
      </c>
      <c r="H45" s="22">
        <f t="shared" si="5"/>
        <v>28125.48</v>
      </c>
      <c r="I45" s="22">
        <f t="shared" si="5"/>
        <v>84905.48</v>
      </c>
      <c r="J45" s="22">
        <f t="shared" si="5"/>
        <v>614191.49000000011</v>
      </c>
      <c r="K45" s="22">
        <f t="shared" si="5"/>
        <v>264457.93</v>
      </c>
      <c r="L45" s="22">
        <f t="shared" si="5"/>
        <v>2499875.25</v>
      </c>
      <c r="M45" s="22">
        <f t="shared" si="5"/>
        <v>431205.83999999997</v>
      </c>
      <c r="N45" s="22">
        <f t="shared" si="5"/>
        <v>1650361.2000000002</v>
      </c>
      <c r="O45" s="22">
        <f t="shared" si="5"/>
        <v>128237.68</v>
      </c>
      <c r="P45" s="22">
        <f t="shared" si="5"/>
        <v>2448663.5282195518</v>
      </c>
      <c r="Q45" s="22">
        <f t="shared" si="5"/>
        <v>359378.6</v>
      </c>
      <c r="R45" s="22">
        <f t="shared" si="5"/>
        <v>344545.01</v>
      </c>
      <c r="S45" s="22">
        <f t="shared" si="5"/>
        <v>11288.26</v>
      </c>
      <c r="T45" s="22">
        <f t="shared" si="5"/>
        <v>514309.75</v>
      </c>
      <c r="U45" s="22">
        <f t="shared" si="5"/>
        <v>2201623.39</v>
      </c>
      <c r="V45" s="22">
        <f t="shared" si="5"/>
        <v>33866.639999999999</v>
      </c>
      <c r="W45" s="22">
        <f t="shared" si="5"/>
        <v>596162.8600000001</v>
      </c>
      <c r="X45" s="22">
        <f t="shared" si="5"/>
        <v>562983.02</v>
      </c>
      <c r="Y45" s="22">
        <f t="shared" si="5"/>
        <v>182510.78</v>
      </c>
      <c r="Z45" s="22">
        <f t="shared" si="5"/>
        <v>19584.18</v>
      </c>
      <c r="AA45" s="22">
        <f t="shared" si="5"/>
        <v>304033.26</v>
      </c>
      <c r="AB45" s="22">
        <f t="shared" si="5"/>
        <v>737128</v>
      </c>
      <c r="AC45" s="22">
        <f t="shared" si="5"/>
        <v>77454.890078997298</v>
      </c>
      <c r="AD45" s="22">
        <f t="shared" si="5"/>
        <v>32142.75</v>
      </c>
      <c r="AE45" s="22">
        <f t="shared" si="5"/>
        <v>50438.48</v>
      </c>
    </row>
    <row r="46" spans="1:31" ht="15.95" hidden="1" customHeight="1" outlineLevel="2" x14ac:dyDescent="0.2">
      <c r="B46" s="31" t="s">
        <v>97</v>
      </c>
      <c r="C46" s="31" t="s">
        <v>98</v>
      </c>
      <c r="D46" s="31" t="s">
        <v>243</v>
      </c>
      <c r="E46" s="32">
        <f t="shared" si="4"/>
        <v>2219379.7900000005</v>
      </c>
      <c r="F46" s="33">
        <v>0</v>
      </c>
      <c r="G46" s="33">
        <v>0</v>
      </c>
      <c r="H46" s="33">
        <v>0</v>
      </c>
      <c r="I46" s="33">
        <v>0</v>
      </c>
      <c r="J46" s="33">
        <v>192979.94</v>
      </c>
      <c r="K46" s="33">
        <v>0</v>
      </c>
      <c r="L46" s="33">
        <v>576770.92000000004</v>
      </c>
      <c r="M46" s="33">
        <v>0</v>
      </c>
      <c r="N46" s="33">
        <v>0</v>
      </c>
      <c r="O46" s="33">
        <v>0</v>
      </c>
      <c r="P46" s="33">
        <v>0</v>
      </c>
      <c r="Q46" s="33">
        <v>0</v>
      </c>
      <c r="R46" s="33">
        <v>53236.630000000005</v>
      </c>
      <c r="S46" s="33">
        <v>0</v>
      </c>
      <c r="T46" s="33">
        <v>119963.57000000002</v>
      </c>
      <c r="U46" s="33">
        <v>1178518.05</v>
      </c>
      <c r="V46" s="33">
        <v>0</v>
      </c>
      <c r="W46" s="33">
        <v>0</v>
      </c>
      <c r="X46" s="33">
        <v>0</v>
      </c>
      <c r="Y46" s="33">
        <v>36035.729999999996</v>
      </c>
      <c r="Z46" s="33">
        <v>0</v>
      </c>
      <c r="AA46" s="33">
        <v>61874.950000000004</v>
      </c>
      <c r="AB46" s="33">
        <v>0</v>
      </c>
      <c r="AC46" s="33">
        <v>0</v>
      </c>
      <c r="AD46" s="33">
        <v>0</v>
      </c>
      <c r="AE46" s="33">
        <v>0</v>
      </c>
    </row>
    <row r="47" spans="1:31" ht="15.95" hidden="1" customHeight="1" outlineLevel="2" x14ac:dyDescent="0.2">
      <c r="B47" s="31" t="s">
        <v>97</v>
      </c>
      <c r="C47" s="31" t="s">
        <v>99</v>
      </c>
      <c r="D47" s="31" t="s">
        <v>244</v>
      </c>
      <c r="E47" s="32">
        <f t="shared" si="4"/>
        <v>1186785.7222369674</v>
      </c>
      <c r="F47" s="33">
        <v>0</v>
      </c>
      <c r="G47" s="33">
        <v>0</v>
      </c>
      <c r="H47" s="33">
        <v>0</v>
      </c>
      <c r="I47" s="33">
        <v>0</v>
      </c>
      <c r="J47" s="33">
        <v>0</v>
      </c>
      <c r="K47" s="33">
        <v>56051.08</v>
      </c>
      <c r="L47" s="33">
        <v>508966.99999999994</v>
      </c>
      <c r="M47" s="33">
        <v>76549.38</v>
      </c>
      <c r="N47" s="33">
        <v>0</v>
      </c>
      <c r="O47" s="33">
        <v>8853.0399999999991</v>
      </c>
      <c r="P47" s="33">
        <v>226151.99223696746</v>
      </c>
      <c r="Q47" s="33">
        <v>10426.26</v>
      </c>
      <c r="R47" s="33">
        <v>0</v>
      </c>
      <c r="S47" s="33">
        <v>0</v>
      </c>
      <c r="T47" s="33">
        <v>0</v>
      </c>
      <c r="U47" s="33">
        <v>0</v>
      </c>
      <c r="V47" s="33">
        <v>0</v>
      </c>
      <c r="W47" s="33">
        <v>197362.53</v>
      </c>
      <c r="X47" s="33">
        <v>101547.95000000001</v>
      </c>
      <c r="Y47" s="33">
        <v>876.49</v>
      </c>
      <c r="Z47" s="33">
        <v>0</v>
      </c>
      <c r="AA47" s="33">
        <v>0</v>
      </c>
      <c r="AB47" s="33">
        <v>0</v>
      </c>
      <c r="AC47" s="33">
        <v>0</v>
      </c>
      <c r="AD47" s="33">
        <v>0</v>
      </c>
      <c r="AE47" s="33">
        <v>0</v>
      </c>
    </row>
    <row r="48" spans="1:31" ht="15.95" hidden="1" customHeight="1" outlineLevel="2" x14ac:dyDescent="0.2">
      <c r="B48" s="31" t="s">
        <v>97</v>
      </c>
      <c r="C48" s="31" t="s">
        <v>100</v>
      </c>
      <c r="D48" s="31" t="s">
        <v>245</v>
      </c>
      <c r="E48" s="32">
        <f t="shared" si="4"/>
        <v>340702.00661088945</v>
      </c>
      <c r="F48" s="33">
        <v>0</v>
      </c>
      <c r="G48" s="33">
        <v>0</v>
      </c>
      <c r="H48" s="33">
        <v>0</v>
      </c>
      <c r="I48" s="33">
        <v>0</v>
      </c>
      <c r="J48" s="33">
        <v>0</v>
      </c>
      <c r="K48" s="33">
        <v>0</v>
      </c>
      <c r="L48" s="33">
        <v>0</v>
      </c>
      <c r="M48" s="33">
        <v>0</v>
      </c>
      <c r="N48" s="33">
        <v>0</v>
      </c>
      <c r="O48" s="33">
        <v>13717.650000000001</v>
      </c>
      <c r="P48" s="33">
        <v>241427.48661088949</v>
      </c>
      <c r="Q48" s="33">
        <v>52629.04</v>
      </c>
      <c r="R48" s="33">
        <v>0</v>
      </c>
      <c r="S48" s="33">
        <v>0</v>
      </c>
      <c r="T48" s="33">
        <v>0</v>
      </c>
      <c r="U48" s="33">
        <v>0</v>
      </c>
      <c r="V48" s="33">
        <v>5927.93</v>
      </c>
      <c r="W48" s="33">
        <v>0</v>
      </c>
      <c r="X48" s="33">
        <v>9681.73</v>
      </c>
      <c r="Y48" s="33">
        <v>0</v>
      </c>
      <c r="Z48" s="33">
        <v>0</v>
      </c>
      <c r="AA48" s="33">
        <v>0</v>
      </c>
      <c r="AB48" s="33">
        <v>0</v>
      </c>
      <c r="AC48" s="33">
        <v>0</v>
      </c>
      <c r="AD48" s="33">
        <v>17318.169999999998</v>
      </c>
      <c r="AE48" s="33">
        <v>0</v>
      </c>
    </row>
    <row r="49" spans="2:31" ht="15.95" hidden="1" customHeight="1" outlineLevel="2" x14ac:dyDescent="0.2">
      <c r="B49" s="31" t="s">
        <v>97</v>
      </c>
      <c r="C49" s="31" t="s">
        <v>101</v>
      </c>
      <c r="D49" s="31" t="s">
        <v>246</v>
      </c>
      <c r="E49" s="32">
        <f t="shared" si="4"/>
        <v>384777.12266316602</v>
      </c>
      <c r="F49" s="33">
        <v>79986.39</v>
      </c>
      <c r="G49" s="33">
        <v>8073.32</v>
      </c>
      <c r="H49" s="33">
        <v>4462.9000000000005</v>
      </c>
      <c r="I49" s="33">
        <v>0</v>
      </c>
      <c r="J49" s="33">
        <v>0</v>
      </c>
      <c r="K49" s="33">
        <v>0</v>
      </c>
      <c r="L49" s="33">
        <v>0</v>
      </c>
      <c r="M49" s="33">
        <v>0</v>
      </c>
      <c r="N49" s="33">
        <v>260722.1</v>
      </c>
      <c r="O49" s="33">
        <v>0</v>
      </c>
      <c r="P49" s="33">
        <v>0</v>
      </c>
      <c r="Q49" s="33">
        <v>0</v>
      </c>
      <c r="R49" s="33">
        <v>0</v>
      </c>
      <c r="S49" s="33">
        <v>0</v>
      </c>
      <c r="T49" s="33">
        <v>0</v>
      </c>
      <c r="U49" s="33">
        <v>0</v>
      </c>
      <c r="V49" s="33">
        <v>0</v>
      </c>
      <c r="W49" s="33">
        <v>0</v>
      </c>
      <c r="X49" s="33">
        <v>0</v>
      </c>
      <c r="Y49" s="33">
        <v>0</v>
      </c>
      <c r="Z49" s="33">
        <v>0</v>
      </c>
      <c r="AA49" s="33">
        <v>0</v>
      </c>
      <c r="AB49" s="33">
        <v>30349.635000000002</v>
      </c>
      <c r="AC49" s="33">
        <v>1182.777663166032</v>
      </c>
      <c r="AD49" s="33">
        <v>0</v>
      </c>
      <c r="AE49" s="33">
        <v>0</v>
      </c>
    </row>
    <row r="50" spans="2:31" ht="15.95" hidden="1" customHeight="1" outlineLevel="2" x14ac:dyDescent="0.2">
      <c r="B50" s="31" t="s">
        <v>97</v>
      </c>
      <c r="C50" s="31" t="s">
        <v>102</v>
      </c>
      <c r="D50" s="31" t="s">
        <v>247</v>
      </c>
      <c r="E50" s="32">
        <f t="shared" si="4"/>
        <v>502.59</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502.59</v>
      </c>
      <c r="Z50" s="33">
        <v>0</v>
      </c>
      <c r="AA50" s="33">
        <v>0</v>
      </c>
      <c r="AB50" s="33">
        <v>0</v>
      </c>
      <c r="AC50" s="33">
        <v>0</v>
      </c>
      <c r="AD50" s="33">
        <v>0</v>
      </c>
      <c r="AE50" s="33">
        <v>0</v>
      </c>
    </row>
    <row r="51" spans="2:31" ht="15.95" hidden="1" customHeight="1" outlineLevel="2" x14ac:dyDescent="0.2">
      <c r="B51" s="31" t="s">
        <v>97</v>
      </c>
      <c r="C51" s="31" t="s">
        <v>103</v>
      </c>
      <c r="D51" s="31" t="s">
        <v>248</v>
      </c>
      <c r="E51" s="32">
        <f t="shared" si="4"/>
        <v>45900.363845338608</v>
      </c>
      <c r="F51" s="33">
        <v>0</v>
      </c>
      <c r="G51" s="33">
        <v>0</v>
      </c>
      <c r="H51" s="33">
        <v>0</v>
      </c>
      <c r="I51" s="33">
        <v>34051.279999999999</v>
      </c>
      <c r="J51" s="33">
        <v>0</v>
      </c>
      <c r="K51" s="33">
        <v>0</v>
      </c>
      <c r="L51" s="33">
        <v>0</v>
      </c>
      <c r="M51" s="33">
        <v>0</v>
      </c>
      <c r="N51" s="33">
        <v>0</v>
      </c>
      <c r="O51" s="33">
        <v>0</v>
      </c>
      <c r="P51" s="33">
        <v>0</v>
      </c>
      <c r="Q51" s="33">
        <v>0</v>
      </c>
      <c r="R51" s="33">
        <v>0</v>
      </c>
      <c r="S51" s="33">
        <v>2826.85</v>
      </c>
      <c r="T51" s="33">
        <v>0</v>
      </c>
      <c r="U51" s="33">
        <v>0</v>
      </c>
      <c r="V51" s="33">
        <v>0</v>
      </c>
      <c r="W51" s="33">
        <v>0</v>
      </c>
      <c r="X51" s="33">
        <v>0</v>
      </c>
      <c r="Y51" s="33">
        <v>0</v>
      </c>
      <c r="Z51" s="33">
        <v>8823</v>
      </c>
      <c r="AA51" s="33">
        <v>0</v>
      </c>
      <c r="AB51" s="33">
        <v>0</v>
      </c>
      <c r="AC51" s="33">
        <v>199.2338453386119</v>
      </c>
      <c r="AD51" s="33">
        <v>0</v>
      </c>
      <c r="AE51" s="33">
        <v>0</v>
      </c>
    </row>
    <row r="52" spans="2:31" ht="15.95" hidden="1" customHeight="1" outlineLevel="2" x14ac:dyDescent="0.2">
      <c r="B52" s="31" t="s">
        <v>97</v>
      </c>
      <c r="C52" s="31" t="s">
        <v>104</v>
      </c>
      <c r="D52" s="31" t="s">
        <v>249</v>
      </c>
      <c r="E52" s="32">
        <f t="shared" si="4"/>
        <v>240896.05535092618</v>
      </c>
      <c r="F52" s="33">
        <v>0</v>
      </c>
      <c r="G52" s="33">
        <v>0</v>
      </c>
      <c r="H52" s="33">
        <v>0</v>
      </c>
      <c r="I52" s="33">
        <v>0</v>
      </c>
      <c r="J52" s="33">
        <v>13703.019999999999</v>
      </c>
      <c r="K52" s="33">
        <v>3937.2299999999996</v>
      </c>
      <c r="L52" s="33">
        <v>76701.58</v>
      </c>
      <c r="M52" s="33">
        <v>5382.7</v>
      </c>
      <c r="N52" s="33">
        <v>0</v>
      </c>
      <c r="O52" s="33">
        <v>622.59999999999991</v>
      </c>
      <c r="P52" s="33">
        <v>15902.445350926198</v>
      </c>
      <c r="Q52" s="33">
        <v>733.41</v>
      </c>
      <c r="R52" s="33">
        <v>3778.2999999999997</v>
      </c>
      <c r="S52" s="33">
        <v>0</v>
      </c>
      <c r="T52" s="33">
        <v>8509.6</v>
      </c>
      <c r="U52" s="33">
        <v>83599.259999999995</v>
      </c>
      <c r="V52" s="33">
        <v>0</v>
      </c>
      <c r="W52" s="33">
        <v>13878.12</v>
      </c>
      <c r="X52" s="33">
        <v>7141.0199999999986</v>
      </c>
      <c r="Y52" s="33">
        <v>2617.7199999999998</v>
      </c>
      <c r="Z52" s="33">
        <v>0</v>
      </c>
      <c r="AA52" s="33">
        <v>4389.0499999999993</v>
      </c>
      <c r="AB52" s="33">
        <v>0</v>
      </c>
      <c r="AC52" s="33">
        <v>0</v>
      </c>
      <c r="AD52" s="33">
        <v>0</v>
      </c>
      <c r="AE52" s="33">
        <v>0</v>
      </c>
    </row>
    <row r="53" spans="2:31" ht="15.95" hidden="1" customHeight="1" outlineLevel="2" x14ac:dyDescent="0.2">
      <c r="B53" s="31" t="s">
        <v>97</v>
      </c>
      <c r="C53" s="31" t="s">
        <v>105</v>
      </c>
      <c r="D53" s="31" t="s">
        <v>250</v>
      </c>
      <c r="E53" s="32">
        <f t="shared" si="4"/>
        <v>31662.585150893578</v>
      </c>
      <c r="F53" s="33">
        <v>4682.3999999999996</v>
      </c>
      <c r="G53" s="33">
        <v>308.92</v>
      </c>
      <c r="H53" s="33">
        <v>170.26999999999998</v>
      </c>
      <c r="I53" s="33">
        <v>2610.8599999999997</v>
      </c>
      <c r="J53" s="33">
        <v>0</v>
      </c>
      <c r="K53" s="33">
        <v>0</v>
      </c>
      <c r="L53" s="33">
        <v>0</v>
      </c>
      <c r="M53" s="33">
        <v>0</v>
      </c>
      <c r="N53" s="33">
        <v>9976.43</v>
      </c>
      <c r="O53" s="33">
        <v>473.77</v>
      </c>
      <c r="P53" s="33">
        <v>8299.1950811481256</v>
      </c>
      <c r="Q53" s="33">
        <v>1817.53</v>
      </c>
      <c r="R53" s="33">
        <v>0</v>
      </c>
      <c r="S53" s="33">
        <v>216.75</v>
      </c>
      <c r="T53" s="33">
        <v>0</v>
      </c>
      <c r="U53" s="33">
        <v>0</v>
      </c>
      <c r="V53" s="33">
        <v>204.73</v>
      </c>
      <c r="W53" s="33">
        <v>0</v>
      </c>
      <c r="X53" s="33">
        <v>334.84</v>
      </c>
      <c r="Y53" s="33">
        <v>70.23</v>
      </c>
      <c r="Z53" s="33">
        <v>676.49</v>
      </c>
      <c r="AA53" s="33">
        <v>0</v>
      </c>
      <c r="AB53" s="33">
        <v>1161.5549999999998</v>
      </c>
      <c r="AC53" s="33">
        <v>60.535069745448865</v>
      </c>
      <c r="AD53" s="33">
        <v>598.08000000000004</v>
      </c>
      <c r="AE53" s="33">
        <v>0</v>
      </c>
    </row>
    <row r="54" spans="2:31" ht="15.95" hidden="1" customHeight="1" outlineLevel="2" x14ac:dyDescent="0.2">
      <c r="B54" s="31" t="s">
        <v>97</v>
      </c>
      <c r="C54" s="31" t="s">
        <v>106</v>
      </c>
      <c r="D54" s="31" t="s">
        <v>251</v>
      </c>
      <c r="E54" s="32">
        <f t="shared" si="4"/>
        <v>1301849.1491868286</v>
      </c>
      <c r="F54" s="33">
        <v>74919.039999999994</v>
      </c>
      <c r="G54" s="33">
        <v>4948.6000000000004</v>
      </c>
      <c r="H54" s="33">
        <v>2794.71</v>
      </c>
      <c r="I54" s="33">
        <v>41822.159999999996</v>
      </c>
      <c r="J54" s="33">
        <v>106277.90999999999</v>
      </c>
      <c r="K54" s="33">
        <v>0</v>
      </c>
      <c r="L54" s="33">
        <v>594994.29999999993</v>
      </c>
      <c r="M54" s="33">
        <v>41755.79</v>
      </c>
      <c r="N54" s="33">
        <v>159816.15</v>
      </c>
      <c r="O54" s="33">
        <v>12417.3</v>
      </c>
      <c r="P54" s="33">
        <v>49305.969206591471</v>
      </c>
      <c r="Q54" s="33">
        <v>34804.29</v>
      </c>
      <c r="R54" s="33">
        <v>29556.949999999997</v>
      </c>
      <c r="S54" s="33">
        <v>3471.98</v>
      </c>
      <c r="T54" s="33">
        <v>0</v>
      </c>
      <c r="U54" s="33">
        <v>0</v>
      </c>
      <c r="V54" s="33">
        <v>0</v>
      </c>
      <c r="W54" s="33">
        <v>102213.61</v>
      </c>
      <c r="X54" s="33">
        <v>0</v>
      </c>
      <c r="Y54" s="33">
        <v>21457.710000000003</v>
      </c>
      <c r="Z54" s="33">
        <v>10836.67</v>
      </c>
      <c r="AA54" s="33">
        <v>0</v>
      </c>
      <c r="AB54" s="33">
        <v>0</v>
      </c>
      <c r="AC54" s="33">
        <v>875.37998023719661</v>
      </c>
      <c r="AD54" s="33">
        <v>9580.6299999999992</v>
      </c>
      <c r="AE54" s="33">
        <v>0</v>
      </c>
    </row>
    <row r="55" spans="2:31" ht="15.95" hidden="1" customHeight="1" outlineLevel="2" x14ac:dyDescent="0.2">
      <c r="B55" s="31" t="s">
        <v>97</v>
      </c>
      <c r="C55" s="31" t="s">
        <v>107</v>
      </c>
      <c r="D55" s="31" t="s">
        <v>252</v>
      </c>
      <c r="E55" s="32">
        <f t="shared" si="4"/>
        <v>40348.78</v>
      </c>
      <c r="F55" s="33">
        <v>0</v>
      </c>
      <c r="G55" s="33">
        <v>0</v>
      </c>
      <c r="H55" s="33">
        <v>0</v>
      </c>
      <c r="I55" s="33">
        <v>40348.78</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2:31" ht="15.95" hidden="1" customHeight="1" outlineLevel="2" x14ac:dyDescent="0.2">
      <c r="B56" s="31" t="s">
        <v>97</v>
      </c>
      <c r="C56" s="31" t="s">
        <v>108</v>
      </c>
      <c r="D56" s="31" t="s">
        <v>253</v>
      </c>
      <c r="E56" s="32">
        <f t="shared" si="4"/>
        <v>5263883.71</v>
      </c>
      <c r="F56" s="33">
        <v>0</v>
      </c>
      <c r="G56" s="33">
        <v>0</v>
      </c>
      <c r="H56" s="33">
        <v>0</v>
      </c>
      <c r="I56" s="33">
        <v>0</v>
      </c>
      <c r="J56" s="33">
        <v>0</v>
      </c>
      <c r="K56" s="33">
        <v>0</v>
      </c>
      <c r="L56" s="33">
        <v>4999044.5999999996</v>
      </c>
      <c r="M56" s="33">
        <v>0</v>
      </c>
      <c r="N56" s="33">
        <v>0</v>
      </c>
      <c r="O56" s="33">
        <v>0</v>
      </c>
      <c r="P56" s="33">
        <v>0</v>
      </c>
      <c r="Q56" s="33">
        <v>0</v>
      </c>
      <c r="R56" s="33">
        <v>0</v>
      </c>
      <c r="S56" s="33">
        <v>0</v>
      </c>
      <c r="T56" s="33">
        <v>0</v>
      </c>
      <c r="U56" s="33">
        <v>0</v>
      </c>
      <c r="V56" s="33">
        <v>0</v>
      </c>
      <c r="W56" s="33">
        <v>0</v>
      </c>
      <c r="X56" s="33">
        <v>0</v>
      </c>
      <c r="Y56" s="33">
        <v>264839.11</v>
      </c>
      <c r="Z56" s="33">
        <v>0</v>
      </c>
      <c r="AA56" s="33">
        <v>0</v>
      </c>
      <c r="AB56" s="33">
        <v>0</v>
      </c>
      <c r="AC56" s="33">
        <v>0</v>
      </c>
      <c r="AD56" s="33">
        <v>0</v>
      </c>
      <c r="AE56" s="33">
        <v>0</v>
      </c>
    </row>
    <row r="57" spans="2:31" ht="15.95" hidden="1" customHeight="1" outlineLevel="2" x14ac:dyDescent="0.2">
      <c r="B57" s="31" t="s">
        <v>97</v>
      </c>
      <c r="C57" s="31" t="s">
        <v>109</v>
      </c>
      <c r="D57" s="31" t="s">
        <v>254</v>
      </c>
      <c r="E57" s="32">
        <f t="shared" si="4"/>
        <v>983548.36923759454</v>
      </c>
      <c r="F57" s="33">
        <v>0</v>
      </c>
      <c r="G57" s="33">
        <v>0</v>
      </c>
      <c r="H57" s="33">
        <v>0</v>
      </c>
      <c r="I57" s="33">
        <v>0</v>
      </c>
      <c r="J57" s="33">
        <v>0</v>
      </c>
      <c r="K57" s="33">
        <v>0</v>
      </c>
      <c r="L57" s="33">
        <v>0</v>
      </c>
      <c r="M57" s="33">
        <v>0</v>
      </c>
      <c r="N57" s="33">
        <v>943430.14999999991</v>
      </c>
      <c r="O57" s="33">
        <v>0</v>
      </c>
      <c r="P57" s="33">
        <v>0</v>
      </c>
      <c r="Q57" s="33">
        <v>0</v>
      </c>
      <c r="R57" s="33">
        <v>0</v>
      </c>
      <c r="S57" s="33">
        <v>0</v>
      </c>
      <c r="T57" s="33">
        <v>0</v>
      </c>
      <c r="U57" s="33">
        <v>0</v>
      </c>
      <c r="V57" s="33">
        <v>0</v>
      </c>
      <c r="W57" s="33">
        <v>0</v>
      </c>
      <c r="X57" s="33">
        <v>0</v>
      </c>
      <c r="Y57" s="33">
        <v>0</v>
      </c>
      <c r="Z57" s="33">
        <v>0</v>
      </c>
      <c r="AA57" s="33">
        <v>0</v>
      </c>
      <c r="AB57" s="33">
        <v>0</v>
      </c>
      <c r="AC57" s="33">
        <v>40118.219237594574</v>
      </c>
      <c r="AD57" s="33">
        <v>0</v>
      </c>
      <c r="AE57" s="33">
        <v>0</v>
      </c>
    </row>
    <row r="58" spans="2:31" ht="15.95" hidden="1" customHeight="1" outlineLevel="2" x14ac:dyDescent="0.2">
      <c r="B58" s="31" t="s">
        <v>97</v>
      </c>
      <c r="C58" s="31" t="s">
        <v>110</v>
      </c>
      <c r="D58" s="31" t="s">
        <v>255</v>
      </c>
      <c r="E58" s="32">
        <f t="shared" si="4"/>
        <v>5794.1577649155988</v>
      </c>
      <c r="F58" s="33">
        <v>0</v>
      </c>
      <c r="G58" s="33">
        <v>0</v>
      </c>
      <c r="H58" s="33">
        <v>0</v>
      </c>
      <c r="I58" s="33">
        <v>0</v>
      </c>
      <c r="J58" s="33">
        <v>0</v>
      </c>
      <c r="K58" s="33">
        <v>0</v>
      </c>
      <c r="L58" s="33">
        <v>0</v>
      </c>
      <c r="M58" s="33">
        <v>0</v>
      </c>
      <c r="N58" s="33">
        <v>3108.03</v>
      </c>
      <c r="O58" s="33">
        <v>0</v>
      </c>
      <c r="P58" s="33">
        <v>0</v>
      </c>
      <c r="Q58" s="33">
        <v>0</v>
      </c>
      <c r="R58" s="33">
        <v>0</v>
      </c>
      <c r="S58" s="33">
        <v>0</v>
      </c>
      <c r="T58" s="33">
        <v>0</v>
      </c>
      <c r="U58" s="33">
        <v>0</v>
      </c>
      <c r="V58" s="33">
        <v>0</v>
      </c>
      <c r="W58" s="33">
        <v>0</v>
      </c>
      <c r="X58" s="33">
        <v>0</v>
      </c>
      <c r="Y58" s="33">
        <v>0</v>
      </c>
      <c r="Z58" s="33">
        <v>0</v>
      </c>
      <c r="AA58" s="33">
        <v>0</v>
      </c>
      <c r="AB58" s="33">
        <v>0</v>
      </c>
      <c r="AC58" s="33">
        <v>2686.1277649155982</v>
      </c>
      <c r="AD58" s="33">
        <v>0</v>
      </c>
      <c r="AE58" s="33">
        <v>0</v>
      </c>
    </row>
    <row r="59" spans="2:31" ht="15.95" hidden="1" customHeight="1" outlineLevel="2" x14ac:dyDescent="0.2">
      <c r="B59" s="31" t="s">
        <v>97</v>
      </c>
      <c r="C59" s="31" t="s">
        <v>111</v>
      </c>
      <c r="D59" s="31" t="s">
        <v>256</v>
      </c>
      <c r="E59" s="32">
        <f t="shared" si="4"/>
        <v>5631261.2699999996</v>
      </c>
      <c r="F59" s="33">
        <v>0</v>
      </c>
      <c r="G59" s="33">
        <v>0</v>
      </c>
      <c r="H59" s="33">
        <v>0</v>
      </c>
      <c r="I59" s="33">
        <v>0</v>
      </c>
      <c r="J59" s="33">
        <v>0</v>
      </c>
      <c r="K59" s="33">
        <v>0</v>
      </c>
      <c r="L59" s="33">
        <v>0</v>
      </c>
      <c r="M59" s="33">
        <v>0</v>
      </c>
      <c r="N59" s="33">
        <v>0</v>
      </c>
      <c r="O59" s="33">
        <v>0</v>
      </c>
      <c r="P59" s="33">
        <v>0</v>
      </c>
      <c r="Q59" s="33">
        <v>0</v>
      </c>
      <c r="R59" s="33">
        <v>0</v>
      </c>
      <c r="S59" s="33">
        <v>0</v>
      </c>
      <c r="T59" s="33">
        <v>0</v>
      </c>
      <c r="U59" s="33">
        <v>5631261.2699999996</v>
      </c>
      <c r="V59" s="33">
        <v>0</v>
      </c>
      <c r="W59" s="33">
        <v>0</v>
      </c>
      <c r="X59" s="33">
        <v>0</v>
      </c>
      <c r="Y59" s="33">
        <v>0</v>
      </c>
      <c r="Z59" s="33">
        <v>0</v>
      </c>
      <c r="AA59" s="33">
        <v>0</v>
      </c>
      <c r="AB59" s="33">
        <v>0</v>
      </c>
      <c r="AC59" s="33">
        <v>0</v>
      </c>
      <c r="AD59" s="33">
        <v>0</v>
      </c>
      <c r="AE59" s="33">
        <v>0</v>
      </c>
    </row>
    <row r="60" spans="2:31" ht="15.95" hidden="1" customHeight="1" outlineLevel="2" x14ac:dyDescent="0.2">
      <c r="B60" s="31" t="s">
        <v>97</v>
      </c>
      <c r="C60" s="31" t="s">
        <v>112</v>
      </c>
      <c r="D60" s="31" t="s">
        <v>257</v>
      </c>
      <c r="E60" s="32">
        <f t="shared" si="4"/>
        <v>24.293911805431382</v>
      </c>
      <c r="F60" s="33">
        <v>0</v>
      </c>
      <c r="G60" s="33">
        <v>0</v>
      </c>
      <c r="H60" s="33">
        <v>0</v>
      </c>
      <c r="I60" s="33">
        <v>0</v>
      </c>
      <c r="J60" s="33">
        <v>0</v>
      </c>
      <c r="K60" s="33">
        <v>0</v>
      </c>
      <c r="L60" s="33">
        <v>0</v>
      </c>
      <c r="M60" s="33">
        <v>0</v>
      </c>
      <c r="N60" s="33">
        <v>0</v>
      </c>
      <c r="O60" s="33">
        <v>0</v>
      </c>
      <c r="P60" s="33">
        <v>0</v>
      </c>
      <c r="Q60" s="33">
        <v>0</v>
      </c>
      <c r="R60" s="33">
        <v>0</v>
      </c>
      <c r="S60" s="33">
        <v>0</v>
      </c>
      <c r="T60" s="33">
        <v>0</v>
      </c>
      <c r="U60" s="33">
        <v>0</v>
      </c>
      <c r="V60" s="33">
        <v>0</v>
      </c>
      <c r="W60" s="33">
        <v>0</v>
      </c>
      <c r="X60" s="33">
        <v>0</v>
      </c>
      <c r="Y60" s="33">
        <v>0</v>
      </c>
      <c r="Z60" s="33">
        <v>0</v>
      </c>
      <c r="AA60" s="33">
        <v>0</v>
      </c>
      <c r="AB60" s="33">
        <v>1.56</v>
      </c>
      <c r="AC60" s="33">
        <v>22.733911805431383</v>
      </c>
      <c r="AD60" s="33">
        <v>0</v>
      </c>
      <c r="AE60" s="33">
        <v>0</v>
      </c>
    </row>
    <row r="61" spans="2:31" ht="15.95" hidden="1" customHeight="1" outlineLevel="2" x14ac:dyDescent="0.2">
      <c r="B61" s="31" t="s">
        <v>97</v>
      </c>
      <c r="C61" s="31" t="s">
        <v>113</v>
      </c>
      <c r="D61" s="31" t="s">
        <v>258</v>
      </c>
      <c r="E61" s="32">
        <f t="shared" si="4"/>
        <v>70278.392120424076</v>
      </c>
      <c r="F61" s="33">
        <v>0</v>
      </c>
      <c r="G61" s="33">
        <v>0</v>
      </c>
      <c r="H61" s="33">
        <v>0</v>
      </c>
      <c r="I61" s="33">
        <v>0</v>
      </c>
      <c r="J61" s="33">
        <v>0</v>
      </c>
      <c r="K61" s="33">
        <v>0</v>
      </c>
      <c r="L61" s="33">
        <v>0</v>
      </c>
      <c r="M61" s="33">
        <v>0</v>
      </c>
      <c r="N61" s="33">
        <v>0</v>
      </c>
      <c r="O61" s="33">
        <v>0</v>
      </c>
      <c r="P61" s="33">
        <v>0</v>
      </c>
      <c r="Q61" s="33">
        <v>0</v>
      </c>
      <c r="R61" s="33">
        <v>0</v>
      </c>
      <c r="S61" s="33">
        <v>0</v>
      </c>
      <c r="T61" s="33">
        <v>0</v>
      </c>
      <c r="U61" s="33">
        <v>0</v>
      </c>
      <c r="V61" s="33">
        <v>0</v>
      </c>
      <c r="W61" s="33">
        <v>0</v>
      </c>
      <c r="X61" s="33">
        <v>0</v>
      </c>
      <c r="Y61" s="33">
        <v>0</v>
      </c>
      <c r="Z61" s="33">
        <v>0</v>
      </c>
      <c r="AA61" s="33">
        <v>0</v>
      </c>
      <c r="AB61" s="33">
        <v>0</v>
      </c>
      <c r="AC61" s="33">
        <v>70278.392120424076</v>
      </c>
      <c r="AD61" s="33">
        <v>0</v>
      </c>
      <c r="AE61" s="33">
        <v>0</v>
      </c>
    </row>
    <row r="62" spans="2:31" ht="15.95" hidden="1" customHeight="1" outlineLevel="2" x14ac:dyDescent="0.2">
      <c r="B62" s="31" t="s">
        <v>97</v>
      </c>
      <c r="C62" s="31" t="s">
        <v>114</v>
      </c>
      <c r="D62" s="31" t="s">
        <v>259</v>
      </c>
      <c r="E62" s="32">
        <f t="shared" si="4"/>
        <v>79352.827191815886</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5180.9449999999997</v>
      </c>
      <c r="AC62" s="33">
        <v>74171.882191815879</v>
      </c>
      <c r="AD62" s="33">
        <v>0</v>
      </c>
      <c r="AE62" s="33">
        <v>0</v>
      </c>
    </row>
    <row r="63" spans="2:31" ht="15.95" hidden="1" customHeight="1" outlineLevel="2" x14ac:dyDescent="0.2">
      <c r="B63" s="31" t="s">
        <v>97</v>
      </c>
      <c r="C63" s="31" t="s">
        <v>115</v>
      </c>
      <c r="D63" s="31" t="s">
        <v>260</v>
      </c>
      <c r="E63" s="32">
        <f t="shared" si="4"/>
        <v>1776.85</v>
      </c>
      <c r="F63" s="33">
        <v>0</v>
      </c>
      <c r="G63" s="33">
        <v>0</v>
      </c>
      <c r="H63" s="33">
        <v>1776.85</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2:31" ht="15.95" hidden="1" customHeight="1" outlineLevel="2" x14ac:dyDescent="0.2">
      <c r="B64" s="31" t="s">
        <v>97</v>
      </c>
      <c r="C64" s="31" t="s">
        <v>116</v>
      </c>
      <c r="D64" s="31" t="s">
        <v>261</v>
      </c>
      <c r="E64" s="32">
        <f t="shared" si="4"/>
        <v>130018.7313469919</v>
      </c>
      <c r="F64" s="33">
        <v>6811.67</v>
      </c>
      <c r="G64" s="33">
        <v>3542.47</v>
      </c>
      <c r="H64" s="33">
        <v>0</v>
      </c>
      <c r="I64" s="33">
        <v>0</v>
      </c>
      <c r="J64" s="33">
        <v>0</v>
      </c>
      <c r="K64" s="33">
        <v>0</v>
      </c>
      <c r="L64" s="33">
        <v>0</v>
      </c>
      <c r="M64" s="33">
        <v>0</v>
      </c>
      <c r="N64" s="33">
        <v>114399.86000000002</v>
      </c>
      <c r="O64" s="33">
        <v>0</v>
      </c>
      <c r="P64" s="33">
        <v>0</v>
      </c>
      <c r="Q64" s="33">
        <v>0</v>
      </c>
      <c r="R64" s="33">
        <v>0</v>
      </c>
      <c r="S64" s="33">
        <v>0</v>
      </c>
      <c r="T64" s="33">
        <v>0</v>
      </c>
      <c r="U64" s="33">
        <v>0</v>
      </c>
      <c r="V64" s="33">
        <v>0</v>
      </c>
      <c r="W64" s="33">
        <v>0</v>
      </c>
      <c r="X64" s="33">
        <v>0</v>
      </c>
      <c r="Y64" s="33">
        <v>0</v>
      </c>
      <c r="Z64" s="33">
        <v>0</v>
      </c>
      <c r="AA64" s="33">
        <v>0</v>
      </c>
      <c r="AB64" s="33">
        <v>4570.59</v>
      </c>
      <c r="AC64" s="33">
        <v>694.14134699189219</v>
      </c>
      <c r="AD64" s="33">
        <v>0</v>
      </c>
      <c r="AE64" s="33">
        <v>0</v>
      </c>
    </row>
    <row r="65" spans="2:31" ht="15.95" hidden="1" customHeight="1" outlineLevel="2" x14ac:dyDescent="0.2">
      <c r="B65" s="31" t="s">
        <v>97</v>
      </c>
      <c r="C65" s="31" t="s">
        <v>117</v>
      </c>
      <c r="D65" s="31" t="s">
        <v>262</v>
      </c>
      <c r="E65" s="32">
        <f t="shared" si="4"/>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2:31" ht="15.95" hidden="1" customHeight="1" outlineLevel="2" x14ac:dyDescent="0.2">
      <c r="B66" s="31" t="s">
        <v>97</v>
      </c>
      <c r="C66" s="31" t="s">
        <v>118</v>
      </c>
      <c r="D66" s="31" t="s">
        <v>263</v>
      </c>
      <c r="E66" s="32">
        <f t="shared" si="4"/>
        <v>765.42</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765.42</v>
      </c>
      <c r="Z66" s="33">
        <v>0</v>
      </c>
      <c r="AA66" s="33">
        <v>0</v>
      </c>
      <c r="AB66" s="33">
        <v>0</v>
      </c>
      <c r="AC66" s="33">
        <v>0</v>
      </c>
      <c r="AD66" s="33">
        <v>0</v>
      </c>
      <c r="AE66" s="33">
        <v>0</v>
      </c>
    </row>
    <row r="67" spans="2:31" ht="15.95" hidden="1" customHeight="1" outlineLevel="2" x14ac:dyDescent="0.2">
      <c r="B67" s="31" t="s">
        <v>97</v>
      </c>
      <c r="C67" s="31" t="s">
        <v>119</v>
      </c>
      <c r="D67" s="31" t="s">
        <v>264</v>
      </c>
      <c r="E67" s="32">
        <f t="shared" si="4"/>
        <v>17723.210701530428</v>
      </c>
      <c r="F67" s="33">
        <v>0</v>
      </c>
      <c r="G67" s="33">
        <v>0</v>
      </c>
      <c r="H67" s="33">
        <v>0</v>
      </c>
      <c r="I67" s="33">
        <v>0</v>
      </c>
      <c r="J67" s="33">
        <v>0</v>
      </c>
      <c r="K67" s="33">
        <v>0</v>
      </c>
      <c r="L67" s="33">
        <v>0</v>
      </c>
      <c r="M67" s="33">
        <v>0</v>
      </c>
      <c r="N67" s="33">
        <v>0</v>
      </c>
      <c r="O67" s="33">
        <v>0</v>
      </c>
      <c r="P67" s="33">
        <v>10138.770701530428</v>
      </c>
      <c r="Q67" s="33">
        <v>0</v>
      </c>
      <c r="R67" s="33">
        <v>0</v>
      </c>
      <c r="S67" s="33">
        <v>0</v>
      </c>
      <c r="T67" s="33">
        <v>0</v>
      </c>
      <c r="U67" s="33">
        <v>0</v>
      </c>
      <c r="V67" s="33">
        <v>0</v>
      </c>
      <c r="W67" s="33">
        <v>0</v>
      </c>
      <c r="X67" s="33">
        <v>0</v>
      </c>
      <c r="Y67" s="33">
        <v>7584.4400000000005</v>
      </c>
      <c r="Z67" s="33">
        <v>0</v>
      </c>
      <c r="AA67" s="33">
        <v>0</v>
      </c>
      <c r="AB67" s="33">
        <v>0</v>
      </c>
      <c r="AC67" s="33">
        <v>0</v>
      </c>
      <c r="AD67" s="33">
        <v>0</v>
      </c>
      <c r="AE67" s="33">
        <v>0</v>
      </c>
    </row>
    <row r="68" spans="2:31" ht="15.95" hidden="1" customHeight="1" outlineLevel="2" x14ac:dyDescent="0.2">
      <c r="B68" s="31" t="s">
        <v>97</v>
      </c>
      <c r="C68" s="31" t="s">
        <v>120</v>
      </c>
      <c r="D68" s="31" t="s">
        <v>265</v>
      </c>
      <c r="E68" s="32">
        <f t="shared" si="4"/>
        <v>697036.75414212514</v>
      </c>
      <c r="F68" s="33">
        <v>0</v>
      </c>
      <c r="G68" s="33">
        <v>0</v>
      </c>
      <c r="H68" s="33">
        <v>0</v>
      </c>
      <c r="I68" s="33">
        <v>0</v>
      </c>
      <c r="J68" s="33">
        <v>0</v>
      </c>
      <c r="K68" s="33">
        <v>0</v>
      </c>
      <c r="L68" s="33">
        <v>0</v>
      </c>
      <c r="M68" s="33">
        <v>350479.71</v>
      </c>
      <c r="N68" s="33">
        <v>0</v>
      </c>
      <c r="O68" s="33">
        <v>0</v>
      </c>
      <c r="P68" s="33">
        <v>346557.04414212517</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2:31" ht="15.95" hidden="1" customHeight="1" outlineLevel="2" x14ac:dyDescent="0.2">
      <c r="B69" s="31" t="s">
        <v>97</v>
      </c>
      <c r="C69" s="31" t="s">
        <v>121</v>
      </c>
      <c r="D69" s="31" t="s">
        <v>266</v>
      </c>
      <c r="E69" s="32">
        <f t="shared" si="4"/>
        <v>15656.98</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15656.98</v>
      </c>
      <c r="Z69" s="33">
        <v>0</v>
      </c>
      <c r="AA69" s="33">
        <v>0</v>
      </c>
      <c r="AB69" s="33">
        <v>0</v>
      </c>
      <c r="AC69" s="33">
        <v>0</v>
      </c>
      <c r="AD69" s="33">
        <v>0</v>
      </c>
      <c r="AE69" s="33">
        <v>0</v>
      </c>
    </row>
    <row r="70" spans="2:31" ht="15.95" hidden="1" customHeight="1" outlineLevel="2" x14ac:dyDescent="0.2">
      <c r="B70" s="31" t="s">
        <v>97</v>
      </c>
      <c r="C70" s="31" t="s">
        <v>122</v>
      </c>
      <c r="D70" s="31" t="s">
        <v>267</v>
      </c>
      <c r="E70" s="32">
        <f t="shared" si="4"/>
        <v>361.55131456618301</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361.55131456618301</v>
      </c>
      <c r="AD70" s="33">
        <v>0</v>
      </c>
      <c r="AE70" s="33">
        <v>0</v>
      </c>
    </row>
    <row r="71" spans="2:31" ht="15.95" hidden="1" customHeight="1" outlineLevel="2" x14ac:dyDescent="0.2">
      <c r="B71" s="31" t="s">
        <v>97</v>
      </c>
      <c r="C71" s="31" t="s">
        <v>123</v>
      </c>
      <c r="D71" s="31" t="s">
        <v>268</v>
      </c>
      <c r="E71" s="32">
        <f t="shared" si="4"/>
        <v>51271.93</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51271.93</v>
      </c>
    </row>
    <row r="72" spans="2:31" ht="15.95" hidden="1" customHeight="1" outlineLevel="2" x14ac:dyDescent="0.2">
      <c r="B72" s="31" t="s">
        <v>97</v>
      </c>
      <c r="C72" s="31" t="s">
        <v>124</v>
      </c>
      <c r="D72" s="31" t="s">
        <v>269</v>
      </c>
      <c r="E72" s="32">
        <f t="shared" si="4"/>
        <v>79149.39303332979</v>
      </c>
      <c r="F72" s="33">
        <v>0</v>
      </c>
      <c r="G72" s="33">
        <v>0</v>
      </c>
      <c r="H72" s="33">
        <v>0</v>
      </c>
      <c r="I72" s="33">
        <v>0</v>
      </c>
      <c r="J72" s="33">
        <v>0</v>
      </c>
      <c r="K72" s="33">
        <v>0</v>
      </c>
      <c r="L72" s="33">
        <v>0</v>
      </c>
      <c r="M72" s="33">
        <v>0</v>
      </c>
      <c r="N72" s="33">
        <v>0</v>
      </c>
      <c r="O72" s="33">
        <v>0</v>
      </c>
      <c r="P72" s="33">
        <v>76558.755395960063</v>
      </c>
      <c r="Q72" s="33">
        <v>0</v>
      </c>
      <c r="R72" s="33">
        <v>0</v>
      </c>
      <c r="S72" s="33">
        <v>0</v>
      </c>
      <c r="T72" s="33">
        <v>0</v>
      </c>
      <c r="U72" s="33">
        <v>0</v>
      </c>
      <c r="V72" s="33">
        <v>0</v>
      </c>
      <c r="W72" s="33">
        <v>0</v>
      </c>
      <c r="X72" s="33">
        <v>0</v>
      </c>
      <c r="Y72" s="33">
        <v>2111.98</v>
      </c>
      <c r="Z72" s="33">
        <v>0</v>
      </c>
      <c r="AA72" s="33">
        <v>0</v>
      </c>
      <c r="AB72" s="33">
        <v>0</v>
      </c>
      <c r="AC72" s="33">
        <v>478.65763736972843</v>
      </c>
      <c r="AD72" s="33">
        <v>0</v>
      </c>
      <c r="AE72" s="33">
        <v>0</v>
      </c>
    </row>
    <row r="73" spans="2:31" ht="15.95" hidden="1" customHeight="1" outlineLevel="2" x14ac:dyDescent="0.2">
      <c r="B73" s="31" t="s">
        <v>97</v>
      </c>
      <c r="C73" s="31" t="s">
        <v>125</v>
      </c>
      <c r="D73" s="31" t="s">
        <v>270</v>
      </c>
      <c r="E73" s="32">
        <f t="shared" si="4"/>
        <v>8798.01</v>
      </c>
      <c r="F73" s="33">
        <v>0</v>
      </c>
      <c r="G73" s="33">
        <v>0</v>
      </c>
      <c r="H73" s="33">
        <v>0</v>
      </c>
      <c r="I73" s="33">
        <v>8798.01</v>
      </c>
      <c r="J73" s="33">
        <v>0</v>
      </c>
      <c r="K73" s="33">
        <v>0</v>
      </c>
      <c r="L73" s="33">
        <v>0</v>
      </c>
      <c r="M73" s="33">
        <v>0</v>
      </c>
      <c r="N73" s="33">
        <v>0</v>
      </c>
      <c r="O73" s="33">
        <v>0</v>
      </c>
      <c r="P73" s="33">
        <v>0</v>
      </c>
      <c r="Q73" s="33">
        <v>0</v>
      </c>
      <c r="R73" s="33">
        <v>0</v>
      </c>
      <c r="S73" s="33">
        <v>0</v>
      </c>
      <c r="T73" s="33">
        <v>0</v>
      </c>
      <c r="U73" s="33">
        <v>0</v>
      </c>
      <c r="V73" s="33">
        <v>0</v>
      </c>
      <c r="W73" s="33">
        <v>0</v>
      </c>
      <c r="X73" s="33">
        <v>0</v>
      </c>
      <c r="Y73" s="33">
        <v>0</v>
      </c>
      <c r="Z73" s="33">
        <v>0</v>
      </c>
      <c r="AA73" s="33">
        <v>0</v>
      </c>
      <c r="AB73" s="33">
        <v>0</v>
      </c>
      <c r="AC73" s="33">
        <v>0</v>
      </c>
      <c r="AD73" s="33">
        <v>0</v>
      </c>
      <c r="AE73" s="33">
        <v>0</v>
      </c>
    </row>
    <row r="74" spans="2:31" ht="15.95" hidden="1" customHeight="1" outlineLevel="2" x14ac:dyDescent="0.2">
      <c r="B74" s="31" t="s">
        <v>97</v>
      </c>
      <c r="C74" s="31" t="s">
        <v>126</v>
      </c>
      <c r="D74" s="31" t="s">
        <v>271</v>
      </c>
      <c r="E74" s="32">
        <f t="shared" si="4"/>
        <v>46.094999999999999</v>
      </c>
      <c r="F74" s="33">
        <v>0</v>
      </c>
      <c r="G74" s="33">
        <v>0</v>
      </c>
      <c r="H74" s="33">
        <v>0</v>
      </c>
      <c r="I74" s="33">
        <v>0</v>
      </c>
      <c r="J74" s="33">
        <v>0</v>
      </c>
      <c r="K74" s="33">
        <v>0</v>
      </c>
      <c r="L74" s="33">
        <v>0</v>
      </c>
      <c r="M74" s="33">
        <v>0</v>
      </c>
      <c r="N74" s="33">
        <v>0</v>
      </c>
      <c r="O74" s="33">
        <v>0</v>
      </c>
      <c r="P74" s="33">
        <v>0</v>
      </c>
      <c r="Q74" s="33">
        <v>0</v>
      </c>
      <c r="R74" s="33">
        <v>0</v>
      </c>
      <c r="S74" s="33">
        <v>0</v>
      </c>
      <c r="T74" s="33">
        <v>0</v>
      </c>
      <c r="U74" s="33">
        <v>0</v>
      </c>
      <c r="V74" s="33">
        <v>0</v>
      </c>
      <c r="W74" s="33">
        <v>46.094999999999999</v>
      </c>
      <c r="X74" s="33">
        <v>0</v>
      </c>
      <c r="Y74" s="33">
        <v>0</v>
      </c>
      <c r="Z74" s="33">
        <v>0</v>
      </c>
      <c r="AA74" s="33">
        <v>0</v>
      </c>
      <c r="AB74" s="33">
        <v>0</v>
      </c>
      <c r="AC74" s="33">
        <v>0</v>
      </c>
      <c r="AD74" s="33">
        <v>0</v>
      </c>
      <c r="AE74" s="33">
        <v>0</v>
      </c>
    </row>
    <row r="75" spans="2:31" ht="15.95" hidden="1" customHeight="1" outlineLevel="2" x14ac:dyDescent="0.2">
      <c r="B75" s="31" t="s">
        <v>97</v>
      </c>
      <c r="C75" s="31" t="s">
        <v>127</v>
      </c>
      <c r="D75" s="31" t="s">
        <v>272</v>
      </c>
      <c r="E75" s="32">
        <f t="shared" si="4"/>
        <v>1182.8399999999999</v>
      </c>
      <c r="F75" s="33">
        <v>0</v>
      </c>
      <c r="G75" s="33">
        <v>0</v>
      </c>
      <c r="H75" s="33">
        <v>1182.8399999999999</v>
      </c>
      <c r="I75" s="33">
        <v>0</v>
      </c>
      <c r="J75" s="33">
        <v>0</v>
      </c>
      <c r="K75" s="33">
        <v>0</v>
      </c>
      <c r="L75" s="33">
        <v>0</v>
      </c>
      <c r="M75" s="33">
        <v>0</v>
      </c>
      <c r="N75" s="33">
        <v>0</v>
      </c>
      <c r="O75" s="33">
        <v>0</v>
      </c>
      <c r="P75" s="33">
        <v>0</v>
      </c>
      <c r="Q75" s="33">
        <v>0</v>
      </c>
      <c r="R75" s="33">
        <v>0</v>
      </c>
      <c r="S75" s="33">
        <v>0</v>
      </c>
      <c r="T75" s="33">
        <v>0</v>
      </c>
      <c r="U75" s="33">
        <v>0</v>
      </c>
      <c r="V75" s="33">
        <v>0</v>
      </c>
      <c r="W75" s="33">
        <v>0</v>
      </c>
      <c r="X75" s="33">
        <v>0</v>
      </c>
      <c r="Y75" s="33">
        <v>0</v>
      </c>
      <c r="Z75" s="33">
        <v>0</v>
      </c>
      <c r="AA75" s="33">
        <v>0</v>
      </c>
      <c r="AB75" s="33">
        <v>0</v>
      </c>
      <c r="AC75" s="33">
        <v>0</v>
      </c>
      <c r="AD75" s="33">
        <v>0</v>
      </c>
      <c r="AE75" s="33">
        <v>0</v>
      </c>
    </row>
    <row r="76" spans="2:31" ht="15.95" hidden="1" customHeight="1" outlineLevel="2" x14ac:dyDescent="0.2">
      <c r="B76" s="31" t="s">
        <v>97</v>
      </c>
      <c r="C76" s="31" t="s">
        <v>128</v>
      </c>
      <c r="D76" s="31" t="s">
        <v>273</v>
      </c>
      <c r="E76" s="32">
        <f t="shared" si="4"/>
        <v>13352.73</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13352.73</v>
      </c>
      <c r="AA76" s="33">
        <v>0</v>
      </c>
      <c r="AB76" s="33">
        <v>0</v>
      </c>
      <c r="AC76" s="33">
        <v>0</v>
      </c>
      <c r="AD76" s="33">
        <v>0</v>
      </c>
      <c r="AE76" s="33">
        <v>0</v>
      </c>
    </row>
    <row r="77" spans="2:31" ht="15.95" hidden="1" customHeight="1" outlineLevel="2" x14ac:dyDescent="0.2">
      <c r="B77" s="31" t="s">
        <v>97</v>
      </c>
      <c r="C77" s="31" t="s">
        <v>129</v>
      </c>
      <c r="D77" s="31" t="s">
        <v>274</v>
      </c>
      <c r="E77" s="32">
        <f t="shared" si="4"/>
        <v>56229.919999999998</v>
      </c>
      <c r="F77" s="33">
        <v>0</v>
      </c>
      <c r="G77" s="33">
        <v>0</v>
      </c>
      <c r="H77" s="33">
        <v>56229.919999999998</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2:31" ht="15.95" hidden="1" customHeight="1" outlineLevel="2" x14ac:dyDescent="0.2">
      <c r="B78" s="31" t="s">
        <v>97</v>
      </c>
      <c r="C78" s="31" t="s">
        <v>130</v>
      </c>
      <c r="D78" s="31" t="s">
        <v>275</v>
      </c>
      <c r="E78" s="32">
        <f t="shared" si="4"/>
        <v>365629.61668987619</v>
      </c>
      <c r="F78" s="33">
        <v>0</v>
      </c>
      <c r="G78" s="33">
        <v>0</v>
      </c>
      <c r="H78" s="33">
        <v>0</v>
      </c>
      <c r="I78" s="33">
        <v>0</v>
      </c>
      <c r="J78" s="33">
        <v>0</v>
      </c>
      <c r="K78" s="33">
        <v>0</v>
      </c>
      <c r="L78" s="33">
        <v>0</v>
      </c>
      <c r="M78" s="33">
        <v>0</v>
      </c>
      <c r="N78" s="33">
        <v>349621.76000000001</v>
      </c>
      <c r="O78" s="33">
        <v>0</v>
      </c>
      <c r="P78" s="33">
        <v>0</v>
      </c>
      <c r="Q78" s="33">
        <v>0</v>
      </c>
      <c r="R78" s="33">
        <v>0</v>
      </c>
      <c r="S78" s="33">
        <v>0</v>
      </c>
      <c r="T78" s="33">
        <v>0</v>
      </c>
      <c r="U78" s="33">
        <v>0</v>
      </c>
      <c r="V78" s="33">
        <v>0</v>
      </c>
      <c r="W78" s="33">
        <v>0</v>
      </c>
      <c r="X78" s="33">
        <v>0</v>
      </c>
      <c r="Y78" s="33">
        <v>0</v>
      </c>
      <c r="Z78" s="33">
        <v>0</v>
      </c>
      <c r="AA78" s="33">
        <v>0</v>
      </c>
      <c r="AB78" s="33">
        <v>0</v>
      </c>
      <c r="AC78" s="33">
        <v>16007.856689876176</v>
      </c>
      <c r="AD78" s="33">
        <v>0</v>
      </c>
      <c r="AE78" s="33">
        <v>0</v>
      </c>
    </row>
    <row r="79" spans="2:31" ht="15.95" hidden="1" customHeight="1" outlineLevel="2" x14ac:dyDescent="0.2">
      <c r="B79" s="31" t="s">
        <v>97</v>
      </c>
      <c r="C79" s="31" t="s">
        <v>131</v>
      </c>
      <c r="D79" s="31" t="s">
        <v>276</v>
      </c>
      <c r="E79" s="32">
        <f t="shared" si="4"/>
        <v>5791.12</v>
      </c>
      <c r="F79" s="33">
        <v>0</v>
      </c>
      <c r="G79" s="33">
        <v>0</v>
      </c>
      <c r="H79" s="33">
        <v>0</v>
      </c>
      <c r="I79" s="33">
        <v>5791.12</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2:31" ht="15.95" hidden="1" customHeight="1" outlineLevel="2" x14ac:dyDescent="0.2">
      <c r="B80" s="31" t="s">
        <v>97</v>
      </c>
      <c r="C80" s="31" t="s">
        <v>132</v>
      </c>
      <c r="D80" s="31" t="s">
        <v>277</v>
      </c>
      <c r="E80" s="32">
        <f t="shared" si="4"/>
        <v>5807.41</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5807.41</v>
      </c>
      <c r="Z80" s="33">
        <v>0</v>
      </c>
      <c r="AA80" s="33">
        <v>0</v>
      </c>
      <c r="AB80" s="33">
        <v>0</v>
      </c>
      <c r="AC80" s="33">
        <v>0</v>
      </c>
      <c r="AD80" s="33">
        <v>0</v>
      </c>
      <c r="AE80" s="33">
        <v>0</v>
      </c>
    </row>
    <row r="81" spans="2:31" ht="15.95" hidden="1" customHeight="1" outlineLevel="2" x14ac:dyDescent="0.2">
      <c r="B81" s="31" t="s">
        <v>97</v>
      </c>
      <c r="C81" s="31" t="s">
        <v>133</v>
      </c>
      <c r="D81" s="31" t="s">
        <v>278</v>
      </c>
      <c r="E81" s="32">
        <f t="shared" si="4"/>
        <v>228906.27031006064</v>
      </c>
      <c r="F81" s="33">
        <v>0</v>
      </c>
      <c r="G81" s="33">
        <v>32030.92</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196875.35031006063</v>
      </c>
      <c r="AD81" s="33">
        <v>0</v>
      </c>
      <c r="AE81" s="33">
        <v>0</v>
      </c>
    </row>
    <row r="82" spans="2:31" ht="15.95" hidden="1" customHeight="1" outlineLevel="2" x14ac:dyDescent="0.2">
      <c r="B82" s="31" t="s">
        <v>97</v>
      </c>
      <c r="C82" s="31" t="s">
        <v>134</v>
      </c>
      <c r="D82" s="31" t="s">
        <v>279</v>
      </c>
      <c r="E82" s="32">
        <f t="shared" si="4"/>
        <v>4362.6699999999992</v>
      </c>
      <c r="F82" s="33">
        <v>0</v>
      </c>
      <c r="G82" s="33">
        <v>0</v>
      </c>
      <c r="H82" s="33">
        <v>0</v>
      </c>
      <c r="I82" s="33">
        <v>0</v>
      </c>
      <c r="J82" s="33">
        <v>4362.6699999999992</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2:31" ht="15.95" hidden="1" customHeight="1" outlineLevel="2" x14ac:dyDescent="0.2">
      <c r="B83" s="31" t="s">
        <v>97</v>
      </c>
      <c r="C83" s="31" t="s">
        <v>135</v>
      </c>
      <c r="D83" s="31" t="s">
        <v>280</v>
      </c>
      <c r="E83" s="32">
        <f t="shared" si="4"/>
        <v>4310.0200000000004</v>
      </c>
      <c r="F83" s="33">
        <v>0</v>
      </c>
      <c r="G83" s="33">
        <v>0</v>
      </c>
      <c r="H83" s="33">
        <v>0</v>
      </c>
      <c r="I83" s="33">
        <v>0</v>
      </c>
      <c r="J83" s="33">
        <v>4310.0200000000004</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2:31" ht="15.95" hidden="1" customHeight="1" outlineLevel="2" x14ac:dyDescent="0.2">
      <c r="B84" s="31" t="s">
        <v>97</v>
      </c>
      <c r="C84" s="31" t="s">
        <v>136</v>
      </c>
      <c r="D84" s="31" t="s">
        <v>281</v>
      </c>
      <c r="E84" s="32">
        <f t="shared" si="4"/>
        <v>47063.85</v>
      </c>
      <c r="F84" s="33">
        <v>0</v>
      </c>
      <c r="G84" s="33">
        <v>0</v>
      </c>
      <c r="H84" s="33">
        <v>0</v>
      </c>
      <c r="I84" s="33">
        <v>47063.85</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2:31" ht="15.95" hidden="1" customHeight="1" outlineLevel="2" x14ac:dyDescent="0.2">
      <c r="B85" s="31" t="s">
        <v>97</v>
      </c>
      <c r="C85" s="31" t="s">
        <v>137</v>
      </c>
      <c r="D85" s="31" t="s">
        <v>282</v>
      </c>
      <c r="E85" s="32">
        <f t="shared" si="4"/>
        <v>14047.42</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14047.42</v>
      </c>
      <c r="AA85" s="33">
        <v>0</v>
      </c>
      <c r="AB85" s="33">
        <v>0</v>
      </c>
      <c r="AC85" s="33">
        <v>0</v>
      </c>
      <c r="AD85" s="33">
        <v>0</v>
      </c>
      <c r="AE85" s="33">
        <v>0</v>
      </c>
    </row>
    <row r="86" spans="2:31" ht="15.95" hidden="1" customHeight="1" outlineLevel="2" x14ac:dyDescent="0.2">
      <c r="B86" s="31" t="s">
        <v>97</v>
      </c>
      <c r="C86" s="31" t="s">
        <v>138</v>
      </c>
      <c r="D86" s="31" t="s">
        <v>283</v>
      </c>
      <c r="E86" s="32">
        <f t="shared" si="4"/>
        <v>1502.92</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1502.92</v>
      </c>
      <c r="Z86" s="33">
        <v>0</v>
      </c>
      <c r="AA86" s="33">
        <v>0</v>
      </c>
      <c r="AB86" s="33">
        <v>0</v>
      </c>
      <c r="AC86" s="33">
        <v>0</v>
      </c>
      <c r="AD86" s="33">
        <v>0</v>
      </c>
      <c r="AE86" s="33">
        <v>0</v>
      </c>
    </row>
    <row r="87" spans="2:31" ht="15.95" hidden="1" customHeight="1" outlineLevel="2" x14ac:dyDescent="0.2">
      <c r="B87" s="31" t="s">
        <v>97</v>
      </c>
      <c r="C87" s="31" t="s">
        <v>139</v>
      </c>
      <c r="D87" s="31" t="s">
        <v>284</v>
      </c>
      <c r="E87" s="32">
        <f t="shared" si="4"/>
        <v>4309.0599999999995</v>
      </c>
      <c r="F87" s="33">
        <v>0</v>
      </c>
      <c r="G87" s="33">
        <v>0</v>
      </c>
      <c r="H87" s="33">
        <v>0</v>
      </c>
      <c r="I87" s="33">
        <v>0</v>
      </c>
      <c r="J87" s="33">
        <v>0</v>
      </c>
      <c r="K87" s="33">
        <v>152.66</v>
      </c>
      <c r="L87" s="33">
        <v>0</v>
      </c>
      <c r="M87" s="33">
        <v>4067.96</v>
      </c>
      <c r="N87" s="33">
        <v>0</v>
      </c>
      <c r="O87" s="33">
        <v>0</v>
      </c>
      <c r="P87" s="33">
        <v>0</v>
      </c>
      <c r="Q87" s="33">
        <v>0</v>
      </c>
      <c r="R87" s="33">
        <v>0</v>
      </c>
      <c r="S87" s="33">
        <v>0</v>
      </c>
      <c r="T87" s="33">
        <v>0</v>
      </c>
      <c r="U87" s="33">
        <v>0</v>
      </c>
      <c r="V87" s="33">
        <v>0</v>
      </c>
      <c r="W87" s="33">
        <v>0</v>
      </c>
      <c r="X87" s="33">
        <v>88.44</v>
      </c>
      <c r="Y87" s="33">
        <v>0</v>
      </c>
      <c r="Z87" s="33">
        <v>0</v>
      </c>
      <c r="AA87" s="33">
        <v>0</v>
      </c>
      <c r="AB87" s="33">
        <v>0</v>
      </c>
      <c r="AC87" s="33">
        <v>0</v>
      </c>
      <c r="AD87" s="33">
        <v>0</v>
      </c>
      <c r="AE87" s="33">
        <v>0</v>
      </c>
    </row>
    <row r="88" spans="2:31" ht="15.95" hidden="1" customHeight="1" outlineLevel="2" x14ac:dyDescent="0.2">
      <c r="B88" s="31" t="s">
        <v>97</v>
      </c>
      <c r="C88" s="31" t="s">
        <v>140</v>
      </c>
      <c r="D88" s="31" t="s">
        <v>285</v>
      </c>
      <c r="E88" s="32">
        <f t="shared" si="4"/>
        <v>7045.8014808356156</v>
      </c>
      <c r="F88" s="33">
        <v>25.19</v>
      </c>
      <c r="G88" s="33">
        <v>205.46</v>
      </c>
      <c r="H88" s="33">
        <v>110.68</v>
      </c>
      <c r="I88" s="33">
        <v>0</v>
      </c>
      <c r="J88" s="33">
        <v>0</v>
      </c>
      <c r="K88" s="33">
        <v>0</v>
      </c>
      <c r="L88" s="33">
        <v>0</v>
      </c>
      <c r="M88" s="33">
        <v>0</v>
      </c>
      <c r="N88" s="33">
        <v>167.35</v>
      </c>
      <c r="O88" s="33">
        <v>0</v>
      </c>
      <c r="P88" s="33">
        <v>0</v>
      </c>
      <c r="Q88" s="33">
        <v>0</v>
      </c>
      <c r="R88" s="33">
        <v>0</v>
      </c>
      <c r="S88" s="33">
        <v>0</v>
      </c>
      <c r="T88" s="33">
        <v>0</v>
      </c>
      <c r="U88" s="33">
        <v>0</v>
      </c>
      <c r="V88" s="33">
        <v>0</v>
      </c>
      <c r="W88" s="33">
        <v>0</v>
      </c>
      <c r="X88" s="33">
        <v>0</v>
      </c>
      <c r="Y88" s="33">
        <v>46.38</v>
      </c>
      <c r="Z88" s="33">
        <v>41.18</v>
      </c>
      <c r="AA88" s="33">
        <v>0</v>
      </c>
      <c r="AB88" s="33">
        <v>267.62</v>
      </c>
      <c r="AC88" s="33">
        <v>6181.9414808356159</v>
      </c>
      <c r="AD88" s="33">
        <v>0</v>
      </c>
      <c r="AE88" s="33">
        <v>0</v>
      </c>
    </row>
    <row r="89" spans="2:31" ht="15.95" hidden="1" customHeight="1" outlineLevel="2" x14ac:dyDescent="0.2">
      <c r="B89" s="31" t="s">
        <v>97</v>
      </c>
      <c r="C89" s="31" t="s">
        <v>141</v>
      </c>
      <c r="D89" s="31" t="s">
        <v>286</v>
      </c>
      <c r="E89" s="32">
        <f t="shared" si="4"/>
        <v>83551.610000000015</v>
      </c>
      <c r="F89" s="33">
        <v>0</v>
      </c>
      <c r="G89" s="33">
        <v>0</v>
      </c>
      <c r="H89" s="33">
        <v>0</v>
      </c>
      <c r="I89" s="33">
        <v>419.45000000000005</v>
      </c>
      <c r="J89" s="33">
        <v>250.1</v>
      </c>
      <c r="K89" s="33">
        <v>0.48</v>
      </c>
      <c r="L89" s="33">
        <v>55731.35</v>
      </c>
      <c r="M89" s="33">
        <v>0</v>
      </c>
      <c r="N89" s="33">
        <v>0</v>
      </c>
      <c r="O89" s="33">
        <v>728.91</v>
      </c>
      <c r="P89" s="33">
        <v>0</v>
      </c>
      <c r="Q89" s="33">
        <v>349.45499999999998</v>
      </c>
      <c r="R89" s="33">
        <v>659.22500000000002</v>
      </c>
      <c r="S89" s="33">
        <v>0</v>
      </c>
      <c r="T89" s="33">
        <v>3385.82</v>
      </c>
      <c r="U89" s="33">
        <v>8661.125</v>
      </c>
      <c r="V89" s="33">
        <v>346.37</v>
      </c>
      <c r="W89" s="33">
        <v>3711.5649999999996</v>
      </c>
      <c r="X89" s="33">
        <v>1888.21</v>
      </c>
      <c r="Y89" s="33">
        <v>2673.5499999999997</v>
      </c>
      <c r="Z89" s="33">
        <v>0</v>
      </c>
      <c r="AA89" s="33">
        <v>4746</v>
      </c>
      <c r="AB89" s="33">
        <v>0</v>
      </c>
      <c r="AC89" s="33">
        <v>0</v>
      </c>
      <c r="AD89" s="33">
        <v>0</v>
      </c>
      <c r="AE89" s="33">
        <v>0</v>
      </c>
    </row>
    <row r="90" spans="2:31" ht="15.95" hidden="1" customHeight="1" outlineLevel="2" x14ac:dyDescent="0.2">
      <c r="B90" s="31" t="s">
        <v>97</v>
      </c>
      <c r="C90" s="31" t="s">
        <v>142</v>
      </c>
      <c r="D90" s="31" t="s">
        <v>287</v>
      </c>
      <c r="E90" s="32">
        <f t="shared" si="4"/>
        <v>6565.9940641783087</v>
      </c>
      <c r="F90" s="33">
        <v>0</v>
      </c>
      <c r="G90" s="33">
        <v>0</v>
      </c>
      <c r="H90" s="33">
        <v>0</v>
      </c>
      <c r="I90" s="33">
        <v>0</v>
      </c>
      <c r="J90" s="33">
        <v>0</v>
      </c>
      <c r="K90" s="33">
        <v>0</v>
      </c>
      <c r="L90" s="33">
        <v>0</v>
      </c>
      <c r="M90" s="33">
        <v>0</v>
      </c>
      <c r="N90" s="33">
        <v>0</v>
      </c>
      <c r="O90" s="33">
        <v>642.96</v>
      </c>
      <c r="P90" s="33">
        <v>4636.5640641783093</v>
      </c>
      <c r="Q90" s="33">
        <v>296.62</v>
      </c>
      <c r="R90" s="33">
        <v>0</v>
      </c>
      <c r="S90" s="33">
        <v>0</v>
      </c>
      <c r="T90" s="33">
        <v>0</v>
      </c>
      <c r="U90" s="33">
        <v>0</v>
      </c>
      <c r="V90" s="33">
        <v>305.54000000000002</v>
      </c>
      <c r="W90" s="33">
        <v>0</v>
      </c>
      <c r="X90" s="33">
        <v>684.31</v>
      </c>
      <c r="Y90" s="33">
        <v>0</v>
      </c>
      <c r="Z90" s="33">
        <v>0</v>
      </c>
      <c r="AA90" s="33">
        <v>0</v>
      </c>
      <c r="AB90" s="33">
        <v>0</v>
      </c>
      <c r="AC90" s="33">
        <v>0</v>
      </c>
      <c r="AD90" s="33">
        <v>0</v>
      </c>
      <c r="AE90" s="33">
        <v>0</v>
      </c>
    </row>
    <row r="91" spans="2:31" ht="15.95" hidden="1" customHeight="1" outlineLevel="2" x14ac:dyDescent="0.2">
      <c r="B91" s="31" t="s">
        <v>97</v>
      </c>
      <c r="C91" s="31" t="s">
        <v>143</v>
      </c>
      <c r="D91" s="31" t="s">
        <v>288</v>
      </c>
      <c r="E91" s="32">
        <f t="shared" si="4"/>
        <v>34269.285000000003</v>
      </c>
      <c r="F91" s="33">
        <v>0</v>
      </c>
      <c r="G91" s="33">
        <v>0</v>
      </c>
      <c r="H91" s="33">
        <v>0</v>
      </c>
      <c r="I91" s="33">
        <v>0</v>
      </c>
      <c r="J91" s="33">
        <v>1476.9199999999998</v>
      </c>
      <c r="K91" s="33">
        <v>0</v>
      </c>
      <c r="L91" s="33">
        <v>0</v>
      </c>
      <c r="M91" s="33">
        <v>0</v>
      </c>
      <c r="N91" s="33">
        <v>0</v>
      </c>
      <c r="O91" s="33">
        <v>0</v>
      </c>
      <c r="P91" s="33">
        <v>0</v>
      </c>
      <c r="Q91" s="33">
        <v>0</v>
      </c>
      <c r="R91" s="33">
        <v>3892.895</v>
      </c>
      <c r="S91" s="33">
        <v>0</v>
      </c>
      <c r="T91" s="33">
        <v>4665.4049999999997</v>
      </c>
      <c r="U91" s="33">
        <v>22112.485000000001</v>
      </c>
      <c r="V91" s="33">
        <v>0</v>
      </c>
      <c r="W91" s="33">
        <v>0</v>
      </c>
      <c r="X91" s="33">
        <v>0</v>
      </c>
      <c r="Y91" s="33">
        <v>0</v>
      </c>
      <c r="Z91" s="33">
        <v>0</v>
      </c>
      <c r="AA91" s="33">
        <v>2121.58</v>
      </c>
      <c r="AB91" s="33">
        <v>0</v>
      </c>
      <c r="AC91" s="33">
        <v>0</v>
      </c>
      <c r="AD91" s="33">
        <v>0</v>
      </c>
      <c r="AE91" s="33">
        <v>0</v>
      </c>
    </row>
    <row r="92" spans="2:31" ht="15.95" hidden="1" customHeight="1" outlineLevel="2" x14ac:dyDescent="0.2">
      <c r="B92" s="31" t="s">
        <v>97</v>
      </c>
      <c r="C92" s="31" t="s">
        <v>144</v>
      </c>
      <c r="D92" s="31" t="s">
        <v>289</v>
      </c>
      <c r="E92" s="32">
        <f t="shared" si="4"/>
        <v>36316.979999999996</v>
      </c>
      <c r="F92" s="33">
        <v>0</v>
      </c>
      <c r="G92" s="33">
        <v>0</v>
      </c>
      <c r="H92" s="33">
        <v>0</v>
      </c>
      <c r="I92" s="33">
        <v>36316.979999999996</v>
      </c>
      <c r="J92" s="33">
        <v>0</v>
      </c>
      <c r="K92" s="33">
        <v>0</v>
      </c>
      <c r="L92" s="33">
        <v>0</v>
      </c>
      <c r="M92" s="33">
        <v>0</v>
      </c>
      <c r="N92" s="33">
        <v>0</v>
      </c>
      <c r="O92" s="33">
        <v>0</v>
      </c>
      <c r="P92" s="33">
        <v>0</v>
      </c>
      <c r="Q92" s="33">
        <v>0</v>
      </c>
      <c r="R92" s="33">
        <v>0</v>
      </c>
      <c r="S92" s="33">
        <v>0</v>
      </c>
      <c r="T92" s="33">
        <v>0</v>
      </c>
      <c r="U92" s="33">
        <v>0</v>
      </c>
      <c r="V92" s="33">
        <v>0</v>
      </c>
      <c r="W92" s="33">
        <v>0</v>
      </c>
      <c r="X92" s="33">
        <v>0</v>
      </c>
      <c r="Y92" s="33">
        <v>0</v>
      </c>
      <c r="Z92" s="33">
        <v>0</v>
      </c>
      <c r="AA92" s="33">
        <v>0</v>
      </c>
      <c r="AB92" s="33">
        <v>0</v>
      </c>
      <c r="AC92" s="33">
        <v>0</v>
      </c>
      <c r="AD92" s="33">
        <v>0</v>
      </c>
      <c r="AE92" s="33">
        <v>0</v>
      </c>
    </row>
    <row r="93" spans="2:31" ht="15.95" hidden="1" customHeight="1" outlineLevel="2" x14ac:dyDescent="0.2">
      <c r="B93" s="31" t="s">
        <v>97</v>
      </c>
      <c r="C93" s="31" t="s">
        <v>145</v>
      </c>
      <c r="D93" s="31" t="s">
        <v>290</v>
      </c>
      <c r="E93" s="32">
        <f t="shared" si="4"/>
        <v>573357.28499999992</v>
      </c>
      <c r="F93" s="33">
        <v>0</v>
      </c>
      <c r="G93" s="33">
        <v>0</v>
      </c>
      <c r="H93" s="33">
        <v>0</v>
      </c>
      <c r="I93" s="33">
        <v>0</v>
      </c>
      <c r="J93" s="33">
        <v>104417.29</v>
      </c>
      <c r="K93" s="33">
        <v>0</v>
      </c>
      <c r="L93" s="33">
        <v>248520.31</v>
      </c>
      <c r="M93" s="33">
        <v>0</v>
      </c>
      <c r="N93" s="33">
        <v>0</v>
      </c>
      <c r="O93" s="33">
        <v>0</v>
      </c>
      <c r="P93" s="33">
        <v>0</v>
      </c>
      <c r="Q93" s="33">
        <v>0</v>
      </c>
      <c r="R93" s="33">
        <v>95498.714999999982</v>
      </c>
      <c r="S93" s="33">
        <v>0</v>
      </c>
      <c r="T93" s="33">
        <v>36099.299999999996</v>
      </c>
      <c r="U93" s="33">
        <v>2222.88</v>
      </c>
      <c r="V93" s="33">
        <v>0</v>
      </c>
      <c r="W93" s="33">
        <v>4688.13</v>
      </c>
      <c r="X93" s="33">
        <v>0</v>
      </c>
      <c r="Y93" s="33">
        <v>23823.3</v>
      </c>
      <c r="Z93" s="33">
        <v>0</v>
      </c>
      <c r="AA93" s="33">
        <v>58087.360000000001</v>
      </c>
      <c r="AB93" s="33">
        <v>0</v>
      </c>
      <c r="AC93" s="33">
        <v>0</v>
      </c>
      <c r="AD93" s="33">
        <v>0</v>
      </c>
      <c r="AE93" s="33">
        <v>0</v>
      </c>
    </row>
    <row r="94" spans="2:31" ht="15.95" hidden="1" customHeight="1" outlineLevel="2" x14ac:dyDescent="0.2">
      <c r="B94" s="31" t="s">
        <v>97</v>
      </c>
      <c r="C94" s="31" t="s">
        <v>146</v>
      </c>
      <c r="D94" s="31" t="s">
        <v>291</v>
      </c>
      <c r="E94" s="32">
        <f t="shared" si="4"/>
        <v>1061587.75</v>
      </c>
      <c r="F94" s="33">
        <v>0</v>
      </c>
      <c r="G94" s="33">
        <v>0</v>
      </c>
      <c r="H94" s="33">
        <v>0</v>
      </c>
      <c r="I94" s="33">
        <v>0</v>
      </c>
      <c r="J94" s="33">
        <v>26970.33</v>
      </c>
      <c r="K94" s="33">
        <v>0</v>
      </c>
      <c r="L94" s="33">
        <v>243972.59999999998</v>
      </c>
      <c r="M94" s="33">
        <v>0</v>
      </c>
      <c r="N94" s="33">
        <v>0</v>
      </c>
      <c r="O94" s="33">
        <v>0</v>
      </c>
      <c r="P94" s="33">
        <v>0</v>
      </c>
      <c r="Q94" s="33">
        <v>0</v>
      </c>
      <c r="R94" s="33">
        <v>0</v>
      </c>
      <c r="S94" s="33">
        <v>0</v>
      </c>
      <c r="T94" s="33">
        <v>97704.359999999986</v>
      </c>
      <c r="U94" s="33">
        <v>692940.46</v>
      </c>
      <c r="V94" s="33">
        <v>0</v>
      </c>
      <c r="W94" s="33">
        <v>0</v>
      </c>
      <c r="X94" s="33">
        <v>0</v>
      </c>
      <c r="Y94" s="33">
        <v>0</v>
      </c>
      <c r="Z94" s="33">
        <v>0</v>
      </c>
      <c r="AA94" s="33">
        <v>0</v>
      </c>
      <c r="AB94" s="33">
        <v>0</v>
      </c>
      <c r="AC94" s="33">
        <v>0</v>
      </c>
      <c r="AD94" s="33">
        <v>0</v>
      </c>
      <c r="AE94" s="33">
        <v>0</v>
      </c>
    </row>
    <row r="95" spans="2:31" ht="15.95" hidden="1" customHeight="1" outlineLevel="2" x14ac:dyDescent="0.2">
      <c r="B95" s="31" t="s">
        <v>97</v>
      </c>
      <c r="C95" s="31" t="s">
        <v>147</v>
      </c>
      <c r="D95" s="31" t="s">
        <v>292</v>
      </c>
      <c r="E95" s="32">
        <f t="shared" si="4"/>
        <v>3003572.2050000001</v>
      </c>
      <c r="F95" s="33">
        <v>0</v>
      </c>
      <c r="G95" s="33">
        <v>0</v>
      </c>
      <c r="H95" s="33">
        <v>0</v>
      </c>
      <c r="I95" s="33">
        <v>0</v>
      </c>
      <c r="J95" s="33">
        <v>232088.28</v>
      </c>
      <c r="K95" s="33">
        <v>0</v>
      </c>
      <c r="L95" s="33">
        <v>893442.32</v>
      </c>
      <c r="M95" s="33">
        <v>0</v>
      </c>
      <c r="N95" s="33">
        <v>0</v>
      </c>
      <c r="O95" s="33">
        <v>0</v>
      </c>
      <c r="P95" s="33">
        <v>0</v>
      </c>
      <c r="Q95" s="33">
        <v>0</v>
      </c>
      <c r="R95" s="33">
        <v>165455.465</v>
      </c>
      <c r="S95" s="33">
        <v>0</v>
      </c>
      <c r="T95" s="33">
        <v>247887.14</v>
      </c>
      <c r="U95" s="33">
        <v>1318152.28</v>
      </c>
      <c r="V95" s="33">
        <v>0</v>
      </c>
      <c r="W95" s="33">
        <v>4606.37</v>
      </c>
      <c r="X95" s="33">
        <v>0</v>
      </c>
      <c r="Y95" s="33">
        <v>41283.279999999999</v>
      </c>
      <c r="Z95" s="33">
        <v>0</v>
      </c>
      <c r="AA95" s="33">
        <v>100657.06999999999</v>
      </c>
      <c r="AB95" s="33">
        <v>0</v>
      </c>
      <c r="AC95" s="33">
        <v>0</v>
      </c>
      <c r="AD95" s="33">
        <v>0</v>
      </c>
      <c r="AE95" s="33">
        <v>0</v>
      </c>
    </row>
    <row r="96" spans="2:31" ht="15.95" hidden="1" customHeight="1" outlineLevel="2" x14ac:dyDescent="0.2">
      <c r="B96" s="31" t="s">
        <v>97</v>
      </c>
      <c r="C96" s="31" t="s">
        <v>148</v>
      </c>
      <c r="D96" s="31" t="s">
        <v>293</v>
      </c>
      <c r="E96" s="32">
        <f t="shared" si="4"/>
        <v>5820938.4620985538</v>
      </c>
      <c r="F96" s="33">
        <v>0</v>
      </c>
      <c r="G96" s="33">
        <v>0</v>
      </c>
      <c r="H96" s="33">
        <v>0</v>
      </c>
      <c r="I96" s="33">
        <v>0</v>
      </c>
      <c r="J96" s="33">
        <v>0</v>
      </c>
      <c r="K96" s="33">
        <v>441310.08000000007</v>
      </c>
      <c r="L96" s="33">
        <v>1620594.98</v>
      </c>
      <c r="M96" s="33">
        <v>551130.9</v>
      </c>
      <c r="N96" s="33">
        <v>0</v>
      </c>
      <c r="O96" s="33">
        <v>394309.51</v>
      </c>
      <c r="P96" s="33">
        <v>1490908.352098553</v>
      </c>
      <c r="Q96" s="33">
        <v>27716.595000000001</v>
      </c>
      <c r="R96" s="33">
        <v>0</v>
      </c>
      <c r="S96" s="33">
        <v>0</v>
      </c>
      <c r="T96" s="33">
        <v>0</v>
      </c>
      <c r="U96" s="33">
        <v>0</v>
      </c>
      <c r="V96" s="33">
        <v>37767.919999999998</v>
      </c>
      <c r="W96" s="33">
        <v>789079.90499999991</v>
      </c>
      <c r="X96" s="33">
        <v>316237.48000000004</v>
      </c>
      <c r="Y96" s="33">
        <v>0</v>
      </c>
      <c r="Z96" s="33">
        <v>0</v>
      </c>
      <c r="AA96" s="33">
        <v>0</v>
      </c>
      <c r="AB96" s="33">
        <v>0</v>
      </c>
      <c r="AC96" s="33">
        <v>0</v>
      </c>
      <c r="AD96" s="33">
        <v>151882.74</v>
      </c>
      <c r="AE96" s="33">
        <v>0</v>
      </c>
    </row>
    <row r="97" spans="1:31" ht="15.95" hidden="1" customHeight="1" outlineLevel="2" x14ac:dyDescent="0.2">
      <c r="B97" s="31" t="s">
        <v>97</v>
      </c>
      <c r="C97" s="31" t="s">
        <v>149</v>
      </c>
      <c r="D97" s="31" t="s">
        <v>294</v>
      </c>
      <c r="E97" s="32">
        <f t="shared" si="4"/>
        <v>720963.26719369832</v>
      </c>
      <c r="F97" s="33">
        <v>0</v>
      </c>
      <c r="G97" s="33">
        <v>0</v>
      </c>
      <c r="H97" s="33">
        <v>0</v>
      </c>
      <c r="I97" s="33">
        <v>0</v>
      </c>
      <c r="J97" s="33">
        <v>0</v>
      </c>
      <c r="K97" s="33">
        <v>75459.209999999992</v>
      </c>
      <c r="L97" s="33">
        <v>207436.59</v>
      </c>
      <c r="M97" s="33">
        <v>77987.22</v>
      </c>
      <c r="N97" s="33">
        <v>0</v>
      </c>
      <c r="O97" s="33">
        <v>10177.370000000001</v>
      </c>
      <c r="P97" s="33">
        <v>240264.15219369833</v>
      </c>
      <c r="Q97" s="33">
        <v>4978.42</v>
      </c>
      <c r="R97" s="33">
        <v>0</v>
      </c>
      <c r="S97" s="33">
        <v>0</v>
      </c>
      <c r="T97" s="33">
        <v>0</v>
      </c>
      <c r="U97" s="33">
        <v>0</v>
      </c>
      <c r="V97" s="33">
        <v>6125</v>
      </c>
      <c r="W97" s="33">
        <v>36706.595000000001</v>
      </c>
      <c r="X97" s="33">
        <v>56239.110000000008</v>
      </c>
      <c r="Y97" s="33">
        <v>0</v>
      </c>
      <c r="Z97" s="33">
        <v>0</v>
      </c>
      <c r="AA97" s="33">
        <v>0</v>
      </c>
      <c r="AB97" s="33">
        <v>0</v>
      </c>
      <c r="AC97" s="33">
        <v>0</v>
      </c>
      <c r="AD97" s="33">
        <v>5589.6</v>
      </c>
      <c r="AE97" s="33">
        <v>0</v>
      </c>
    </row>
    <row r="98" spans="1:31" ht="15.95" hidden="1" customHeight="1" outlineLevel="2" x14ac:dyDescent="0.2">
      <c r="B98" s="31" t="s">
        <v>97</v>
      </c>
      <c r="C98" s="31" t="s">
        <v>150</v>
      </c>
      <c r="D98" s="31" t="s">
        <v>295</v>
      </c>
      <c r="E98" s="32">
        <f t="shared" si="4"/>
        <v>81525.11</v>
      </c>
      <c r="F98" s="33">
        <v>0</v>
      </c>
      <c r="G98" s="33">
        <v>0</v>
      </c>
      <c r="H98" s="33">
        <v>0</v>
      </c>
      <c r="I98" s="33">
        <v>0</v>
      </c>
      <c r="J98" s="33">
        <v>0</v>
      </c>
      <c r="K98" s="33">
        <v>0</v>
      </c>
      <c r="L98" s="33">
        <v>0</v>
      </c>
      <c r="M98" s="33">
        <v>0</v>
      </c>
      <c r="N98" s="33">
        <v>0</v>
      </c>
      <c r="O98" s="33">
        <v>0</v>
      </c>
      <c r="P98" s="33">
        <v>0</v>
      </c>
      <c r="Q98" s="33">
        <v>0</v>
      </c>
      <c r="R98" s="33">
        <v>0</v>
      </c>
      <c r="S98" s="33">
        <v>0</v>
      </c>
      <c r="T98" s="33">
        <v>0</v>
      </c>
      <c r="U98" s="33">
        <v>0</v>
      </c>
      <c r="V98" s="33">
        <v>0</v>
      </c>
      <c r="W98" s="33">
        <v>0</v>
      </c>
      <c r="X98" s="33">
        <v>0</v>
      </c>
      <c r="Y98" s="33">
        <v>0</v>
      </c>
      <c r="Z98" s="33">
        <v>0</v>
      </c>
      <c r="AA98" s="33">
        <v>0</v>
      </c>
      <c r="AB98" s="33">
        <v>0</v>
      </c>
      <c r="AC98" s="33">
        <v>0</v>
      </c>
      <c r="AD98" s="33">
        <v>0</v>
      </c>
      <c r="AE98" s="33">
        <v>81525.11</v>
      </c>
    </row>
    <row r="99" spans="1:31" ht="15.95" hidden="1" customHeight="1" outlineLevel="2" x14ac:dyDescent="0.2">
      <c r="B99" s="31" t="s">
        <v>97</v>
      </c>
      <c r="C99" s="31" t="s">
        <v>151</v>
      </c>
      <c r="D99" s="31" t="s">
        <v>296</v>
      </c>
      <c r="E99" s="32">
        <f t="shared" si="4"/>
        <v>33864.474999999999</v>
      </c>
      <c r="F99" s="33">
        <v>0</v>
      </c>
      <c r="G99" s="33">
        <v>0</v>
      </c>
      <c r="H99" s="33">
        <v>0</v>
      </c>
      <c r="I99" s="33">
        <v>0</v>
      </c>
      <c r="J99" s="33">
        <v>0</v>
      </c>
      <c r="K99" s="33">
        <v>0</v>
      </c>
      <c r="L99" s="33">
        <v>0</v>
      </c>
      <c r="M99" s="33">
        <v>0</v>
      </c>
      <c r="N99" s="33">
        <v>0</v>
      </c>
      <c r="O99" s="33">
        <v>0</v>
      </c>
      <c r="P99" s="33">
        <v>0</v>
      </c>
      <c r="Q99" s="33">
        <v>0</v>
      </c>
      <c r="R99" s="33">
        <v>33864.474999999999</v>
      </c>
      <c r="S99" s="33">
        <v>0</v>
      </c>
      <c r="T99" s="33">
        <v>0</v>
      </c>
      <c r="U99" s="33">
        <v>0</v>
      </c>
      <c r="V99" s="33">
        <v>0</v>
      </c>
      <c r="W99" s="33">
        <v>0</v>
      </c>
      <c r="X99" s="33">
        <v>0</v>
      </c>
      <c r="Y99" s="33">
        <v>0</v>
      </c>
      <c r="Z99" s="33">
        <v>0</v>
      </c>
      <c r="AA99" s="33">
        <v>0</v>
      </c>
      <c r="AB99" s="33">
        <v>0</v>
      </c>
      <c r="AC99" s="33">
        <v>0</v>
      </c>
      <c r="AD99" s="33">
        <v>0</v>
      </c>
      <c r="AE99" s="33">
        <v>0</v>
      </c>
    </row>
    <row r="100" spans="1:31" ht="15.95" hidden="1" customHeight="1" outlineLevel="2" x14ac:dyDescent="0.2">
      <c r="B100" s="31" t="s">
        <v>97</v>
      </c>
      <c r="C100" s="31" t="s">
        <v>152</v>
      </c>
      <c r="D100" s="31" t="s">
        <v>297</v>
      </c>
      <c r="E100" s="32">
        <f t="shared" si="4"/>
        <v>129461.98500000002</v>
      </c>
      <c r="F100" s="33">
        <v>0</v>
      </c>
      <c r="G100" s="33">
        <v>0</v>
      </c>
      <c r="H100" s="33">
        <v>0</v>
      </c>
      <c r="I100" s="33">
        <v>0</v>
      </c>
      <c r="J100" s="33">
        <v>0</v>
      </c>
      <c r="K100" s="33">
        <v>0</v>
      </c>
      <c r="L100" s="33">
        <v>20331.37</v>
      </c>
      <c r="M100" s="33">
        <v>0</v>
      </c>
      <c r="N100" s="33">
        <v>0</v>
      </c>
      <c r="O100" s="33">
        <v>0</v>
      </c>
      <c r="P100" s="33">
        <v>0</v>
      </c>
      <c r="Q100" s="33">
        <v>0</v>
      </c>
      <c r="R100" s="33">
        <v>0</v>
      </c>
      <c r="S100" s="33">
        <v>0</v>
      </c>
      <c r="T100" s="33">
        <v>0</v>
      </c>
      <c r="U100" s="33">
        <v>0</v>
      </c>
      <c r="V100" s="33">
        <v>0</v>
      </c>
      <c r="W100" s="33">
        <v>109130.61500000002</v>
      </c>
      <c r="X100" s="33">
        <v>0</v>
      </c>
      <c r="Y100" s="33">
        <v>0</v>
      </c>
      <c r="Z100" s="33">
        <v>0</v>
      </c>
      <c r="AA100" s="33">
        <v>0</v>
      </c>
      <c r="AB100" s="33">
        <v>0</v>
      </c>
      <c r="AC100" s="33">
        <v>0</v>
      </c>
      <c r="AD100" s="33">
        <v>0</v>
      </c>
      <c r="AE100" s="33">
        <v>0</v>
      </c>
    </row>
    <row r="101" spans="1:31" ht="15.95" hidden="1" customHeight="1" outlineLevel="2" x14ac:dyDescent="0.2">
      <c r="B101" s="31" t="s">
        <v>97</v>
      </c>
      <c r="C101" s="31" t="s">
        <v>153</v>
      </c>
      <c r="D101" s="31" t="s">
        <v>298</v>
      </c>
      <c r="E101" s="32">
        <f t="shared" si="4"/>
        <v>1556.08</v>
      </c>
      <c r="F101" s="33">
        <v>0</v>
      </c>
      <c r="G101" s="33">
        <v>0</v>
      </c>
      <c r="H101" s="33">
        <v>0</v>
      </c>
      <c r="I101" s="33">
        <v>0</v>
      </c>
      <c r="J101" s="33">
        <v>0</v>
      </c>
      <c r="K101" s="33">
        <v>0</v>
      </c>
      <c r="L101" s="33">
        <v>0</v>
      </c>
      <c r="M101" s="33">
        <v>0</v>
      </c>
      <c r="N101" s="33">
        <v>0</v>
      </c>
      <c r="O101" s="33">
        <v>0</v>
      </c>
      <c r="P101" s="33">
        <v>0</v>
      </c>
      <c r="Q101" s="33">
        <v>0</v>
      </c>
      <c r="R101" s="33">
        <v>0</v>
      </c>
      <c r="S101" s="33">
        <v>0</v>
      </c>
      <c r="T101" s="33">
        <v>0</v>
      </c>
      <c r="U101" s="33">
        <v>0</v>
      </c>
      <c r="V101" s="33">
        <v>0</v>
      </c>
      <c r="W101" s="33">
        <v>0</v>
      </c>
      <c r="X101" s="33">
        <v>0</v>
      </c>
      <c r="Y101" s="33">
        <v>1556.08</v>
      </c>
      <c r="Z101" s="33">
        <v>0</v>
      </c>
      <c r="AA101" s="33">
        <v>0</v>
      </c>
      <c r="AB101" s="33">
        <v>0</v>
      </c>
      <c r="AC101" s="33">
        <v>0</v>
      </c>
      <c r="AD101" s="33">
        <v>0</v>
      </c>
      <c r="AE101" s="33">
        <v>0</v>
      </c>
    </row>
    <row r="102" spans="1:31" ht="15.95" hidden="1" customHeight="1" outlineLevel="2" x14ac:dyDescent="0.2">
      <c r="B102" s="31" t="s">
        <v>97</v>
      </c>
      <c r="C102" s="31" t="s">
        <v>154</v>
      </c>
      <c r="D102" s="31" t="s">
        <v>299</v>
      </c>
      <c r="E102" s="32">
        <f t="shared" si="4"/>
        <v>690.12</v>
      </c>
      <c r="F102" s="33">
        <v>0</v>
      </c>
      <c r="G102" s="33">
        <v>0</v>
      </c>
      <c r="H102" s="33">
        <v>0</v>
      </c>
      <c r="I102" s="33">
        <v>0</v>
      </c>
      <c r="J102" s="33">
        <v>0</v>
      </c>
      <c r="K102" s="33">
        <v>0</v>
      </c>
      <c r="L102" s="33">
        <v>0</v>
      </c>
      <c r="M102" s="33">
        <v>0</v>
      </c>
      <c r="N102" s="33">
        <v>0</v>
      </c>
      <c r="O102" s="33">
        <v>0</v>
      </c>
      <c r="P102" s="33">
        <v>0</v>
      </c>
      <c r="Q102" s="33">
        <v>0</v>
      </c>
      <c r="R102" s="33">
        <v>0</v>
      </c>
      <c r="S102" s="33">
        <v>0</v>
      </c>
      <c r="T102" s="33">
        <v>0</v>
      </c>
      <c r="U102" s="33">
        <v>0</v>
      </c>
      <c r="V102" s="33">
        <v>0</v>
      </c>
      <c r="W102" s="33">
        <v>0</v>
      </c>
      <c r="X102" s="33">
        <v>0</v>
      </c>
      <c r="Y102" s="33">
        <v>690.12</v>
      </c>
      <c r="Z102" s="33">
        <v>0</v>
      </c>
      <c r="AA102" s="33">
        <v>0</v>
      </c>
      <c r="AB102" s="33">
        <v>0</v>
      </c>
      <c r="AC102" s="33">
        <v>0</v>
      </c>
      <c r="AD102" s="33">
        <v>0</v>
      </c>
      <c r="AE102" s="33">
        <v>0</v>
      </c>
    </row>
    <row r="103" spans="1:31" ht="15.95" hidden="1" customHeight="1" outlineLevel="2" x14ac:dyDescent="0.2">
      <c r="B103" s="31" t="s">
        <v>97</v>
      </c>
      <c r="C103" s="31" t="s">
        <v>155</v>
      </c>
      <c r="D103" s="31" t="s">
        <v>300</v>
      </c>
      <c r="E103" s="32">
        <f t="shared" si="4"/>
        <v>16171.55</v>
      </c>
      <c r="F103" s="33">
        <v>0</v>
      </c>
      <c r="G103" s="33">
        <v>0</v>
      </c>
      <c r="H103" s="33">
        <v>0</v>
      </c>
      <c r="I103" s="33">
        <v>0</v>
      </c>
      <c r="J103" s="33">
        <v>402.76000000000005</v>
      </c>
      <c r="K103" s="33">
        <v>0</v>
      </c>
      <c r="L103" s="33">
        <v>5017.1000000000004</v>
      </c>
      <c r="M103" s="33">
        <v>0</v>
      </c>
      <c r="N103" s="33">
        <v>0</v>
      </c>
      <c r="O103" s="33">
        <v>0</v>
      </c>
      <c r="P103" s="33">
        <v>0</v>
      </c>
      <c r="Q103" s="33">
        <v>0</v>
      </c>
      <c r="R103" s="33">
        <v>1614.67</v>
      </c>
      <c r="S103" s="33">
        <v>0</v>
      </c>
      <c r="T103" s="33">
        <v>1362.915</v>
      </c>
      <c r="U103" s="33">
        <v>45.204999999999998</v>
      </c>
      <c r="V103" s="33">
        <v>0</v>
      </c>
      <c r="W103" s="33">
        <v>925.69999999999993</v>
      </c>
      <c r="X103" s="33">
        <v>0</v>
      </c>
      <c r="Y103" s="33">
        <v>5127.8599999999997</v>
      </c>
      <c r="Z103" s="33">
        <v>0</v>
      </c>
      <c r="AA103" s="33">
        <v>1675.34</v>
      </c>
      <c r="AB103" s="33">
        <v>0</v>
      </c>
      <c r="AC103" s="33">
        <v>0</v>
      </c>
      <c r="AD103" s="33">
        <v>0</v>
      </c>
      <c r="AE103" s="33">
        <v>0</v>
      </c>
    </row>
    <row r="104" spans="1:31" ht="15.95" hidden="1" customHeight="1" outlineLevel="2" x14ac:dyDescent="0.2">
      <c r="B104" s="31" t="s">
        <v>97</v>
      </c>
      <c r="C104" s="31" t="s">
        <v>156</v>
      </c>
      <c r="D104" s="31" t="s">
        <v>301</v>
      </c>
      <c r="E104" s="32">
        <f t="shared" si="4"/>
        <v>20148.05</v>
      </c>
      <c r="F104" s="33">
        <v>0</v>
      </c>
      <c r="G104" s="33">
        <v>0</v>
      </c>
      <c r="H104" s="33">
        <v>0</v>
      </c>
      <c r="I104" s="33">
        <v>0</v>
      </c>
      <c r="J104" s="33">
        <v>69.149999999999991</v>
      </c>
      <c r="K104" s="33">
        <v>0</v>
      </c>
      <c r="L104" s="33">
        <v>4028.3</v>
      </c>
      <c r="M104" s="33">
        <v>0</v>
      </c>
      <c r="N104" s="33">
        <v>0</v>
      </c>
      <c r="O104" s="33">
        <v>0</v>
      </c>
      <c r="P104" s="33">
        <v>0</v>
      </c>
      <c r="Q104" s="33">
        <v>0</v>
      </c>
      <c r="R104" s="33">
        <v>0</v>
      </c>
      <c r="S104" s="33">
        <v>0</v>
      </c>
      <c r="T104" s="33">
        <v>471.44</v>
      </c>
      <c r="U104" s="33">
        <v>15579.16</v>
      </c>
      <c r="V104" s="33">
        <v>0</v>
      </c>
      <c r="W104" s="33">
        <v>0</v>
      </c>
      <c r="X104" s="33">
        <v>0</v>
      </c>
      <c r="Y104" s="33">
        <v>0</v>
      </c>
      <c r="Z104" s="33">
        <v>0</v>
      </c>
      <c r="AA104" s="33">
        <v>0</v>
      </c>
      <c r="AB104" s="33">
        <v>0</v>
      </c>
      <c r="AC104" s="33">
        <v>0</v>
      </c>
      <c r="AD104" s="33">
        <v>0</v>
      </c>
      <c r="AE104" s="33">
        <v>0</v>
      </c>
    </row>
    <row r="105" spans="1:31" ht="15.95" hidden="1" customHeight="1" outlineLevel="2" x14ac:dyDescent="0.2">
      <c r="B105" s="31" t="s">
        <v>97</v>
      </c>
      <c r="C105" s="31" t="s">
        <v>157</v>
      </c>
      <c r="D105" s="31" t="s">
        <v>302</v>
      </c>
      <c r="E105" s="32">
        <f t="shared" si="4"/>
        <v>132352.55742945449</v>
      </c>
      <c r="F105" s="33">
        <v>249.07</v>
      </c>
      <c r="G105" s="33">
        <v>1821.54</v>
      </c>
      <c r="H105" s="33">
        <v>1004.85</v>
      </c>
      <c r="I105" s="33">
        <v>0</v>
      </c>
      <c r="J105" s="33">
        <v>0</v>
      </c>
      <c r="K105" s="33">
        <v>0</v>
      </c>
      <c r="L105" s="33">
        <v>0</v>
      </c>
      <c r="M105" s="33">
        <v>0</v>
      </c>
      <c r="N105" s="33">
        <v>41822.9</v>
      </c>
      <c r="O105" s="33">
        <v>0</v>
      </c>
      <c r="P105" s="33">
        <v>0</v>
      </c>
      <c r="Q105" s="33">
        <v>0</v>
      </c>
      <c r="R105" s="33">
        <v>0</v>
      </c>
      <c r="S105" s="33">
        <v>0</v>
      </c>
      <c r="T105" s="33">
        <v>0</v>
      </c>
      <c r="U105" s="33">
        <v>0</v>
      </c>
      <c r="V105" s="33">
        <v>0</v>
      </c>
      <c r="W105" s="33">
        <v>0</v>
      </c>
      <c r="X105" s="33">
        <v>0</v>
      </c>
      <c r="Y105" s="33">
        <v>0</v>
      </c>
      <c r="Z105" s="33">
        <v>0</v>
      </c>
      <c r="AA105" s="33">
        <v>0</v>
      </c>
      <c r="AB105" s="33">
        <v>21588.09</v>
      </c>
      <c r="AC105" s="33">
        <v>61371.407429454492</v>
      </c>
      <c r="AD105" s="33">
        <v>0</v>
      </c>
      <c r="AE105" s="33">
        <v>4494.7</v>
      </c>
    </row>
    <row r="106" spans="1:31" ht="15.95" customHeight="1" outlineLevel="1" collapsed="1" x14ac:dyDescent="0.2">
      <c r="A106" s="6">
        <v>17</v>
      </c>
      <c r="B106" s="34"/>
      <c r="C106" s="31"/>
      <c r="D106" s="14" t="s">
        <v>158</v>
      </c>
      <c r="E106" s="22">
        <f t="shared" ref="E106:AE106" si="6">SUBTOTAL(9,E46:E105)</f>
        <v>31345986.525076773</v>
      </c>
      <c r="F106" s="22">
        <f t="shared" si="6"/>
        <v>166673.76</v>
      </c>
      <c r="G106" s="22">
        <f t="shared" si="6"/>
        <v>50931.229999999996</v>
      </c>
      <c r="H106" s="22">
        <f t="shared" si="6"/>
        <v>67733.01999999999</v>
      </c>
      <c r="I106" s="22">
        <f t="shared" si="6"/>
        <v>217222.49</v>
      </c>
      <c r="J106" s="22">
        <f t="shared" si="6"/>
        <v>687308.39</v>
      </c>
      <c r="K106" s="22">
        <f t="shared" si="6"/>
        <v>576910.74000000011</v>
      </c>
      <c r="L106" s="22">
        <f t="shared" si="6"/>
        <v>10055553.319999998</v>
      </c>
      <c r="M106" s="22">
        <f t="shared" si="6"/>
        <v>1107353.6600000001</v>
      </c>
      <c r="N106" s="22">
        <f t="shared" si="6"/>
        <v>1883064.7300000002</v>
      </c>
      <c r="O106" s="22">
        <f t="shared" si="6"/>
        <v>441943.11</v>
      </c>
      <c r="P106" s="22">
        <f t="shared" si="6"/>
        <v>2710150.7270825682</v>
      </c>
      <c r="Q106" s="22">
        <f t="shared" si="6"/>
        <v>133751.62</v>
      </c>
      <c r="R106" s="22">
        <f t="shared" si="6"/>
        <v>387557.32499999995</v>
      </c>
      <c r="S106" s="22">
        <f t="shared" si="6"/>
        <v>6515.58</v>
      </c>
      <c r="T106" s="22">
        <f t="shared" si="6"/>
        <v>520049.55</v>
      </c>
      <c r="U106" s="22">
        <f t="shared" si="6"/>
        <v>8953092.1750000007</v>
      </c>
      <c r="V106" s="22">
        <f t="shared" si="6"/>
        <v>50677.49</v>
      </c>
      <c r="W106" s="22">
        <f t="shared" si="6"/>
        <v>1262349.2349999999</v>
      </c>
      <c r="X106" s="22">
        <f t="shared" si="6"/>
        <v>493843.09</v>
      </c>
      <c r="Y106" s="22">
        <f t="shared" si="6"/>
        <v>435029.29999999987</v>
      </c>
      <c r="Z106" s="22">
        <f t="shared" si="6"/>
        <v>47777.49</v>
      </c>
      <c r="AA106" s="22">
        <f t="shared" si="6"/>
        <v>233551.35</v>
      </c>
      <c r="AB106" s="22">
        <f t="shared" si="6"/>
        <v>63119.99500000001</v>
      </c>
      <c r="AC106" s="22">
        <f t="shared" si="6"/>
        <v>471566.18799419759</v>
      </c>
      <c r="AD106" s="22">
        <f t="shared" si="6"/>
        <v>184969.22</v>
      </c>
      <c r="AE106" s="22">
        <f t="shared" si="6"/>
        <v>137291.74000000002</v>
      </c>
    </row>
    <row r="107" spans="1:31" ht="15.95" hidden="1" customHeight="1" outlineLevel="2" x14ac:dyDescent="0.2">
      <c r="B107" s="31" t="s">
        <v>159</v>
      </c>
      <c r="C107" s="31" t="s">
        <v>160</v>
      </c>
      <c r="D107" s="31" t="s">
        <v>303</v>
      </c>
      <c r="E107" s="32">
        <f t="shared" si="4"/>
        <v>9578.2656119081294</v>
      </c>
      <c r="F107" s="33">
        <v>3936.62</v>
      </c>
      <c r="G107" s="33">
        <v>0</v>
      </c>
      <c r="H107" s="33">
        <v>0</v>
      </c>
      <c r="I107" s="33">
        <v>0</v>
      </c>
      <c r="J107" s="33">
        <v>0</v>
      </c>
      <c r="K107" s="33">
        <v>0</v>
      </c>
      <c r="L107" s="33">
        <v>0</v>
      </c>
      <c r="M107" s="33">
        <v>0</v>
      </c>
      <c r="N107" s="33">
        <v>0</v>
      </c>
      <c r="O107" s="33">
        <v>0</v>
      </c>
      <c r="P107" s="33">
        <v>0</v>
      </c>
      <c r="Q107" s="33">
        <v>0</v>
      </c>
      <c r="R107" s="33">
        <v>0</v>
      </c>
      <c r="S107" s="33">
        <v>0</v>
      </c>
      <c r="T107" s="33">
        <v>0</v>
      </c>
      <c r="U107" s="33">
        <v>0</v>
      </c>
      <c r="V107" s="33">
        <v>0</v>
      </c>
      <c r="W107" s="33">
        <v>0</v>
      </c>
      <c r="X107" s="33">
        <v>0</v>
      </c>
      <c r="Y107" s="33">
        <v>0</v>
      </c>
      <c r="Z107" s="33">
        <v>0</v>
      </c>
      <c r="AA107" s="33">
        <v>0</v>
      </c>
      <c r="AB107" s="33">
        <v>0</v>
      </c>
      <c r="AC107" s="33">
        <v>5641.6456119081286</v>
      </c>
      <c r="AD107" s="33">
        <v>0</v>
      </c>
      <c r="AE107" s="33">
        <v>0</v>
      </c>
    </row>
    <row r="108" spans="1:31" ht="15.95" hidden="1" customHeight="1" outlineLevel="2" x14ac:dyDescent="0.2">
      <c r="B108" s="31" t="s">
        <v>159</v>
      </c>
      <c r="C108" s="31" t="s">
        <v>161</v>
      </c>
      <c r="D108" s="31" t="s">
        <v>304</v>
      </c>
      <c r="E108" s="32">
        <f t="shared" si="4"/>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ht="15.95" hidden="1" customHeight="1" outlineLevel="2" x14ac:dyDescent="0.2">
      <c r="B109" s="31" t="s">
        <v>159</v>
      </c>
      <c r="C109" s="31" t="s">
        <v>162</v>
      </c>
      <c r="D109" s="31" t="s">
        <v>305</v>
      </c>
      <c r="E109" s="32">
        <f t="shared" si="4"/>
        <v>0</v>
      </c>
      <c r="F109" s="33">
        <v>0</v>
      </c>
      <c r="G109" s="33">
        <v>0</v>
      </c>
      <c r="H109" s="33">
        <v>0</v>
      </c>
      <c r="I109" s="33">
        <v>0</v>
      </c>
      <c r="J109" s="33">
        <v>0</v>
      </c>
      <c r="K109" s="33">
        <v>0</v>
      </c>
      <c r="L109" s="33">
        <v>0</v>
      </c>
      <c r="M109" s="33">
        <v>0</v>
      </c>
      <c r="N109" s="33">
        <v>0</v>
      </c>
      <c r="O109" s="33">
        <v>0</v>
      </c>
      <c r="P109" s="33">
        <v>0</v>
      </c>
      <c r="Q109" s="33">
        <v>0</v>
      </c>
      <c r="R109" s="33">
        <v>0</v>
      </c>
      <c r="S109" s="33">
        <v>0</v>
      </c>
      <c r="T109" s="33">
        <v>0</v>
      </c>
      <c r="U109" s="33">
        <v>0</v>
      </c>
      <c r="V109" s="33">
        <v>0</v>
      </c>
      <c r="W109" s="33">
        <v>0</v>
      </c>
      <c r="X109" s="33">
        <v>0</v>
      </c>
      <c r="Y109" s="33">
        <v>0</v>
      </c>
      <c r="Z109" s="33">
        <v>0</v>
      </c>
      <c r="AA109" s="33">
        <v>0</v>
      </c>
      <c r="AB109" s="33">
        <v>0</v>
      </c>
      <c r="AC109" s="33">
        <v>0</v>
      </c>
      <c r="AD109" s="33">
        <v>0</v>
      </c>
      <c r="AE109" s="33">
        <v>0</v>
      </c>
    </row>
    <row r="110" spans="1:31" ht="15.95" hidden="1" customHeight="1" outlineLevel="2" x14ac:dyDescent="0.2">
      <c r="B110" s="31" t="s">
        <v>159</v>
      </c>
      <c r="C110" s="31" t="s">
        <v>163</v>
      </c>
      <c r="D110" s="31" t="s">
        <v>306</v>
      </c>
      <c r="E110" s="32">
        <f t="shared" si="4"/>
        <v>37068.541404999996</v>
      </c>
      <c r="F110" s="33">
        <v>0</v>
      </c>
      <c r="G110" s="33">
        <v>0</v>
      </c>
      <c r="H110" s="33">
        <v>0</v>
      </c>
      <c r="I110" s="33">
        <v>0</v>
      </c>
      <c r="J110" s="33">
        <v>0</v>
      </c>
      <c r="K110" s="33">
        <v>0</v>
      </c>
      <c r="L110" s="33">
        <v>0</v>
      </c>
      <c r="M110" s="33">
        <v>0</v>
      </c>
      <c r="N110" s="33">
        <v>0</v>
      </c>
      <c r="O110" s="33">
        <v>0</v>
      </c>
      <c r="P110" s="33">
        <v>0</v>
      </c>
      <c r="Q110" s="33">
        <v>0</v>
      </c>
      <c r="R110" s="33">
        <v>0</v>
      </c>
      <c r="S110" s="33">
        <v>0</v>
      </c>
      <c r="T110" s="33">
        <v>7740.5614050000004</v>
      </c>
      <c r="U110" s="33">
        <v>0</v>
      </c>
      <c r="V110" s="33">
        <v>0</v>
      </c>
      <c r="W110" s="33">
        <v>0</v>
      </c>
      <c r="X110" s="33">
        <v>0</v>
      </c>
      <c r="Y110" s="33">
        <v>29327.98</v>
      </c>
      <c r="Z110" s="33">
        <v>0</v>
      </c>
      <c r="AA110" s="33">
        <v>0</v>
      </c>
      <c r="AB110" s="33">
        <v>0</v>
      </c>
      <c r="AC110" s="33">
        <v>0</v>
      </c>
      <c r="AD110" s="33">
        <v>0</v>
      </c>
      <c r="AE110" s="33">
        <v>0</v>
      </c>
    </row>
    <row r="111" spans="1:31" ht="15.95" hidden="1" customHeight="1" outlineLevel="2" x14ac:dyDescent="0.2">
      <c r="B111" s="31" t="s">
        <v>159</v>
      </c>
      <c r="C111" s="31" t="s">
        <v>164</v>
      </c>
      <c r="D111" s="31" t="s">
        <v>307</v>
      </c>
      <c r="E111" s="32">
        <f t="shared" si="4"/>
        <v>107694.89109</v>
      </c>
      <c r="F111" s="33">
        <v>0</v>
      </c>
      <c r="G111" s="33">
        <v>0</v>
      </c>
      <c r="H111" s="33">
        <v>0</v>
      </c>
      <c r="I111" s="33">
        <v>0</v>
      </c>
      <c r="J111" s="33">
        <v>0</v>
      </c>
      <c r="K111" s="33">
        <v>0</v>
      </c>
      <c r="L111" s="33">
        <v>91603.63109000001</v>
      </c>
      <c r="M111" s="33">
        <v>0</v>
      </c>
      <c r="N111" s="33">
        <v>0</v>
      </c>
      <c r="O111" s="33">
        <v>0</v>
      </c>
      <c r="P111" s="33">
        <v>0</v>
      </c>
      <c r="Q111" s="33">
        <v>0</v>
      </c>
      <c r="R111" s="33">
        <v>0</v>
      </c>
      <c r="S111" s="33">
        <v>0</v>
      </c>
      <c r="T111" s="33">
        <v>0</v>
      </c>
      <c r="U111" s="33">
        <v>0</v>
      </c>
      <c r="V111" s="33">
        <v>0</v>
      </c>
      <c r="W111" s="33">
        <v>0</v>
      </c>
      <c r="X111" s="33">
        <v>0</v>
      </c>
      <c r="Y111" s="33">
        <v>16091.26</v>
      </c>
      <c r="Z111" s="33">
        <v>0</v>
      </c>
      <c r="AA111" s="33">
        <v>0</v>
      </c>
      <c r="AB111" s="33">
        <v>0</v>
      </c>
      <c r="AC111" s="33">
        <v>0</v>
      </c>
      <c r="AD111" s="33">
        <v>0</v>
      </c>
      <c r="AE111" s="33">
        <v>0</v>
      </c>
    </row>
    <row r="112" spans="1:31" ht="15.95" hidden="1" customHeight="1" outlineLevel="2" x14ac:dyDescent="0.2">
      <c r="B112" s="31" t="s">
        <v>159</v>
      </c>
      <c r="C112" s="31" t="s">
        <v>165</v>
      </c>
      <c r="D112" s="31" t="s">
        <v>308</v>
      </c>
      <c r="E112" s="32">
        <f t="shared" si="4"/>
        <v>902.23777000000007</v>
      </c>
      <c r="F112" s="33">
        <v>0</v>
      </c>
      <c r="G112" s="33">
        <v>0</v>
      </c>
      <c r="H112" s="33">
        <v>0</v>
      </c>
      <c r="I112" s="33">
        <v>0</v>
      </c>
      <c r="J112" s="33">
        <v>0</v>
      </c>
      <c r="K112" s="33">
        <v>0</v>
      </c>
      <c r="L112" s="33">
        <v>0</v>
      </c>
      <c r="M112" s="33">
        <v>0</v>
      </c>
      <c r="N112" s="33">
        <v>0</v>
      </c>
      <c r="O112" s="33">
        <v>0</v>
      </c>
      <c r="P112" s="33">
        <v>0</v>
      </c>
      <c r="Q112" s="33">
        <v>0</v>
      </c>
      <c r="R112" s="33">
        <v>0</v>
      </c>
      <c r="S112" s="33">
        <v>0</v>
      </c>
      <c r="T112" s="33">
        <v>902.23777000000007</v>
      </c>
      <c r="U112" s="33">
        <v>0</v>
      </c>
      <c r="V112" s="33">
        <v>0</v>
      </c>
      <c r="W112" s="33">
        <v>0</v>
      </c>
      <c r="X112" s="33">
        <v>0</v>
      </c>
      <c r="Y112" s="33">
        <v>0</v>
      </c>
      <c r="Z112" s="33">
        <v>0</v>
      </c>
      <c r="AA112" s="33">
        <v>0</v>
      </c>
      <c r="AB112" s="33">
        <v>0</v>
      </c>
      <c r="AC112" s="33">
        <v>0</v>
      </c>
      <c r="AD112" s="33">
        <v>0</v>
      </c>
      <c r="AE112" s="33">
        <v>0</v>
      </c>
    </row>
    <row r="113" spans="2:31" ht="15.95" hidden="1" customHeight="1" outlineLevel="2" x14ac:dyDescent="0.2">
      <c r="B113" s="31" t="s">
        <v>159</v>
      </c>
      <c r="C113" s="31" t="s">
        <v>166</v>
      </c>
      <c r="D113" s="31" t="s">
        <v>309</v>
      </c>
      <c r="E113" s="32">
        <f t="shared" si="4"/>
        <v>60458.660109999997</v>
      </c>
      <c r="F113" s="33">
        <v>0</v>
      </c>
      <c r="G113" s="33">
        <v>0</v>
      </c>
      <c r="H113" s="33">
        <v>0</v>
      </c>
      <c r="I113" s="33">
        <v>0</v>
      </c>
      <c r="J113" s="33">
        <v>0</v>
      </c>
      <c r="K113" s="33">
        <v>0</v>
      </c>
      <c r="L113" s="33">
        <v>0</v>
      </c>
      <c r="M113" s="33">
        <v>0</v>
      </c>
      <c r="N113" s="33">
        <v>0</v>
      </c>
      <c r="O113" s="33">
        <v>0</v>
      </c>
      <c r="P113" s="33">
        <v>0</v>
      </c>
      <c r="Q113" s="33">
        <v>0</v>
      </c>
      <c r="R113" s="33">
        <v>24724.267264999999</v>
      </c>
      <c r="S113" s="33">
        <v>0</v>
      </c>
      <c r="T113" s="33">
        <v>30494.692844999998</v>
      </c>
      <c r="U113" s="33">
        <v>0</v>
      </c>
      <c r="V113" s="33">
        <v>0</v>
      </c>
      <c r="W113" s="33">
        <v>0</v>
      </c>
      <c r="X113" s="33">
        <v>0</v>
      </c>
      <c r="Y113" s="33">
        <v>0</v>
      </c>
      <c r="Z113" s="33">
        <v>0</v>
      </c>
      <c r="AA113" s="33">
        <v>5239.7</v>
      </c>
      <c r="AB113" s="33">
        <v>0</v>
      </c>
      <c r="AC113" s="33">
        <v>0</v>
      </c>
      <c r="AD113" s="33">
        <v>0</v>
      </c>
      <c r="AE113" s="33">
        <v>0</v>
      </c>
    </row>
    <row r="114" spans="2:31" ht="15.95" hidden="1" customHeight="1" outlineLevel="2" x14ac:dyDescent="0.2">
      <c r="B114" s="31" t="s">
        <v>159</v>
      </c>
      <c r="C114" s="31" t="s">
        <v>167</v>
      </c>
      <c r="D114" s="31" t="s">
        <v>310</v>
      </c>
      <c r="E114" s="32">
        <f t="shared" si="4"/>
        <v>0</v>
      </c>
      <c r="F114" s="33">
        <v>0</v>
      </c>
      <c r="G114" s="33">
        <v>0</v>
      </c>
      <c r="H114" s="33">
        <v>0</v>
      </c>
      <c r="I114" s="33">
        <v>0</v>
      </c>
      <c r="J114" s="33">
        <v>0</v>
      </c>
      <c r="K114" s="33">
        <v>0</v>
      </c>
      <c r="L114" s="33">
        <v>0</v>
      </c>
      <c r="M114" s="33">
        <v>0</v>
      </c>
      <c r="N114" s="33">
        <v>0</v>
      </c>
      <c r="O114" s="33">
        <v>0</v>
      </c>
      <c r="P114" s="33">
        <v>0</v>
      </c>
      <c r="Q114" s="33">
        <v>0</v>
      </c>
      <c r="R114" s="33">
        <v>0</v>
      </c>
      <c r="S114" s="33">
        <v>0</v>
      </c>
      <c r="T114" s="33">
        <v>0</v>
      </c>
      <c r="U114" s="33">
        <v>0</v>
      </c>
      <c r="V114" s="33">
        <v>0</v>
      </c>
      <c r="W114" s="33">
        <v>0</v>
      </c>
      <c r="X114" s="33">
        <v>0</v>
      </c>
      <c r="Y114" s="33">
        <v>0</v>
      </c>
      <c r="Z114" s="33">
        <v>0</v>
      </c>
      <c r="AA114" s="33">
        <v>0</v>
      </c>
      <c r="AB114" s="33">
        <v>0</v>
      </c>
      <c r="AC114" s="33">
        <v>0</v>
      </c>
      <c r="AD114" s="33">
        <v>0</v>
      </c>
      <c r="AE114" s="33">
        <v>0</v>
      </c>
    </row>
    <row r="115" spans="2:31" ht="15.95" hidden="1" customHeight="1" outlineLevel="2" x14ac:dyDescent="0.2">
      <c r="B115" s="31" t="s">
        <v>159</v>
      </c>
      <c r="C115" s="31" t="s">
        <v>168</v>
      </c>
      <c r="D115" s="31" t="s">
        <v>311</v>
      </c>
      <c r="E115" s="32">
        <f t="shared" si="4"/>
        <v>2718.53</v>
      </c>
      <c r="F115" s="33">
        <v>0</v>
      </c>
      <c r="G115" s="33">
        <v>0</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c r="AA115" s="33">
        <v>0</v>
      </c>
      <c r="AB115" s="33">
        <v>2718.53</v>
      </c>
      <c r="AC115" s="33">
        <v>0</v>
      </c>
      <c r="AD115" s="33">
        <v>0</v>
      </c>
      <c r="AE115" s="33">
        <v>0</v>
      </c>
    </row>
    <row r="116" spans="2:31" ht="15.95" hidden="1" customHeight="1" outlineLevel="2" x14ac:dyDescent="0.2">
      <c r="B116" s="31" t="s">
        <v>159</v>
      </c>
      <c r="C116" s="31" t="s">
        <v>169</v>
      </c>
      <c r="D116" s="31" t="s">
        <v>312</v>
      </c>
      <c r="E116" s="32">
        <f t="shared" si="4"/>
        <v>180095.18964</v>
      </c>
      <c r="F116" s="33">
        <v>0</v>
      </c>
      <c r="G116" s="33">
        <v>0</v>
      </c>
      <c r="H116" s="33">
        <v>0</v>
      </c>
      <c r="I116" s="33">
        <v>0</v>
      </c>
      <c r="J116" s="33">
        <v>0</v>
      </c>
      <c r="K116" s="33">
        <v>0</v>
      </c>
      <c r="L116" s="33">
        <v>84861.351284999997</v>
      </c>
      <c r="M116" s="33">
        <v>0</v>
      </c>
      <c r="N116" s="33">
        <v>0</v>
      </c>
      <c r="O116" s="33">
        <v>0</v>
      </c>
      <c r="P116" s="33">
        <v>0</v>
      </c>
      <c r="Q116" s="33">
        <v>0</v>
      </c>
      <c r="R116" s="33">
        <v>19976.636310000002</v>
      </c>
      <c r="S116" s="33">
        <v>0</v>
      </c>
      <c r="T116" s="33">
        <v>31950.762044999999</v>
      </c>
      <c r="U116" s="33">
        <v>0</v>
      </c>
      <c r="V116" s="33">
        <v>0</v>
      </c>
      <c r="W116" s="33">
        <v>0</v>
      </c>
      <c r="X116" s="33">
        <v>0</v>
      </c>
      <c r="Y116" s="33">
        <v>39064.65</v>
      </c>
      <c r="Z116" s="33">
        <v>0</v>
      </c>
      <c r="AA116" s="33">
        <v>4241.79</v>
      </c>
      <c r="AB116" s="33">
        <v>0</v>
      </c>
      <c r="AC116" s="33">
        <v>0</v>
      </c>
      <c r="AD116" s="33">
        <v>0</v>
      </c>
      <c r="AE116" s="33">
        <v>0</v>
      </c>
    </row>
    <row r="117" spans="2:31" ht="15.95" hidden="1" customHeight="1" outlineLevel="2" x14ac:dyDescent="0.2">
      <c r="B117" s="31" t="s">
        <v>159</v>
      </c>
      <c r="C117" s="31" t="s">
        <v>170</v>
      </c>
      <c r="D117" s="31" t="s">
        <v>313</v>
      </c>
      <c r="E117" s="32">
        <f t="shared" si="4"/>
        <v>11296.379796742065</v>
      </c>
      <c r="F117" s="33">
        <v>3704.9</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2281.98</v>
      </c>
      <c r="AC117" s="33">
        <v>5309.499796742065</v>
      </c>
      <c r="AD117" s="33">
        <v>0</v>
      </c>
      <c r="AE117" s="33">
        <v>0</v>
      </c>
    </row>
    <row r="118" spans="2:31" ht="15.95" hidden="1" customHeight="1" outlineLevel="2" x14ac:dyDescent="0.2">
      <c r="B118" s="31" t="s">
        <v>159</v>
      </c>
      <c r="C118" s="31" t="s">
        <v>171</v>
      </c>
      <c r="D118" s="31" t="s">
        <v>314</v>
      </c>
      <c r="E118" s="32">
        <f t="shared" si="4"/>
        <v>46535.41</v>
      </c>
      <c r="F118" s="33">
        <v>0</v>
      </c>
      <c r="G118" s="33">
        <v>46535.41</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2:31" ht="15.95" hidden="1" customHeight="1" outlineLevel="2" x14ac:dyDescent="0.2">
      <c r="B119" s="31" t="s">
        <v>159</v>
      </c>
      <c r="C119" s="31" t="s">
        <v>172</v>
      </c>
      <c r="D119" s="31" t="s">
        <v>315</v>
      </c>
      <c r="E119" s="32">
        <f t="shared" si="4"/>
        <v>23889.62</v>
      </c>
      <c r="F119" s="33">
        <v>0</v>
      </c>
      <c r="G119" s="33">
        <v>0</v>
      </c>
      <c r="H119" s="33">
        <v>23889.62</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c r="AA119" s="33">
        <v>0</v>
      </c>
      <c r="AB119" s="33">
        <v>0</v>
      </c>
      <c r="AC119" s="33">
        <v>0</v>
      </c>
      <c r="AD119" s="33">
        <v>0</v>
      </c>
      <c r="AE119" s="33">
        <v>0</v>
      </c>
    </row>
    <row r="120" spans="2:31" ht="15.95" hidden="1" customHeight="1" outlineLevel="2" x14ac:dyDescent="0.2">
      <c r="B120" s="31" t="s">
        <v>159</v>
      </c>
      <c r="C120" s="31" t="s">
        <v>173</v>
      </c>
      <c r="D120" s="31" t="s">
        <v>316</v>
      </c>
      <c r="E120" s="32">
        <f t="shared" si="4"/>
        <v>0</v>
      </c>
      <c r="F120" s="33">
        <v>0</v>
      </c>
      <c r="G120" s="33">
        <v>0</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c r="AA120" s="33">
        <v>0</v>
      </c>
      <c r="AB120" s="33">
        <v>0</v>
      </c>
      <c r="AC120" s="33">
        <v>0</v>
      </c>
      <c r="AD120" s="33">
        <v>0</v>
      </c>
      <c r="AE120" s="33">
        <v>0</v>
      </c>
    </row>
    <row r="121" spans="2:31" ht="15.95" hidden="1" customHeight="1" outlineLevel="2" x14ac:dyDescent="0.2">
      <c r="B121" s="31" t="s">
        <v>159</v>
      </c>
      <c r="C121" s="31" t="s">
        <v>174</v>
      </c>
      <c r="D121" s="31" t="s">
        <v>317</v>
      </c>
      <c r="E121" s="32">
        <f t="shared" si="4"/>
        <v>5302.3491300000005</v>
      </c>
      <c r="F121" s="33">
        <v>0</v>
      </c>
      <c r="G121" s="33">
        <v>0</v>
      </c>
      <c r="H121" s="33">
        <v>0</v>
      </c>
      <c r="I121" s="33">
        <v>0</v>
      </c>
      <c r="J121" s="33">
        <v>0</v>
      </c>
      <c r="K121" s="33">
        <v>0</v>
      </c>
      <c r="L121" s="33">
        <v>0</v>
      </c>
      <c r="M121" s="33">
        <v>0</v>
      </c>
      <c r="N121" s="33">
        <v>0</v>
      </c>
      <c r="O121" s="33">
        <v>0</v>
      </c>
      <c r="P121" s="33">
        <v>0</v>
      </c>
      <c r="Q121" s="33">
        <v>0</v>
      </c>
      <c r="R121" s="33">
        <v>0</v>
      </c>
      <c r="S121" s="33">
        <v>0</v>
      </c>
      <c r="T121" s="33">
        <v>5302.3491300000005</v>
      </c>
      <c r="U121" s="33">
        <v>0</v>
      </c>
      <c r="V121" s="33">
        <v>0</v>
      </c>
      <c r="W121" s="33">
        <v>0</v>
      </c>
      <c r="X121" s="33">
        <v>0</v>
      </c>
      <c r="Y121" s="33">
        <v>0</v>
      </c>
      <c r="Z121" s="33">
        <v>0</v>
      </c>
      <c r="AA121" s="33">
        <v>0</v>
      </c>
      <c r="AB121" s="33">
        <v>0</v>
      </c>
      <c r="AC121" s="33">
        <v>0</v>
      </c>
      <c r="AD121" s="33">
        <v>0</v>
      </c>
      <c r="AE121" s="33">
        <v>0</v>
      </c>
    </row>
    <row r="122" spans="2:31" ht="15.95" hidden="1" customHeight="1" outlineLevel="2" x14ac:dyDescent="0.2">
      <c r="B122" s="31" t="s">
        <v>159</v>
      </c>
      <c r="C122" s="31" t="s">
        <v>175</v>
      </c>
      <c r="D122" s="31" t="s">
        <v>318</v>
      </c>
      <c r="E122" s="32">
        <f t="shared" si="4"/>
        <v>48831.067770000001</v>
      </c>
      <c r="F122" s="33">
        <v>0</v>
      </c>
      <c r="G122" s="33">
        <v>0</v>
      </c>
      <c r="H122" s="33">
        <v>0</v>
      </c>
      <c r="I122" s="33">
        <v>0</v>
      </c>
      <c r="J122" s="33">
        <v>0</v>
      </c>
      <c r="K122" s="33">
        <v>16940.27637</v>
      </c>
      <c r="L122" s="33">
        <v>0</v>
      </c>
      <c r="M122" s="33">
        <v>0</v>
      </c>
      <c r="N122" s="33">
        <v>0</v>
      </c>
      <c r="O122" s="33">
        <v>0</v>
      </c>
      <c r="P122" s="33">
        <v>0</v>
      </c>
      <c r="Q122" s="33">
        <v>4063.3499400000001</v>
      </c>
      <c r="R122" s="33">
        <v>0</v>
      </c>
      <c r="S122" s="33">
        <v>0</v>
      </c>
      <c r="T122" s="33">
        <v>0</v>
      </c>
      <c r="U122" s="33">
        <v>0</v>
      </c>
      <c r="V122" s="33">
        <v>0</v>
      </c>
      <c r="W122" s="33">
        <v>19262</v>
      </c>
      <c r="X122" s="33">
        <v>8565.44146</v>
      </c>
      <c r="Y122" s="33">
        <v>0</v>
      </c>
      <c r="Z122" s="33">
        <v>0</v>
      </c>
      <c r="AA122" s="33">
        <v>0</v>
      </c>
      <c r="AB122" s="33">
        <v>0</v>
      </c>
      <c r="AC122" s="33">
        <v>0</v>
      </c>
      <c r="AD122" s="33">
        <v>0</v>
      </c>
      <c r="AE122" s="33">
        <v>0</v>
      </c>
    </row>
    <row r="123" spans="2:31" ht="15.95" hidden="1" customHeight="1" outlineLevel="2" x14ac:dyDescent="0.2">
      <c r="B123" s="31" t="s">
        <v>159</v>
      </c>
      <c r="C123" s="31" t="s">
        <v>176</v>
      </c>
      <c r="D123" s="31" t="s">
        <v>319</v>
      </c>
      <c r="E123" s="32">
        <f t="shared" si="4"/>
        <v>303045.95345999999</v>
      </c>
      <c r="F123" s="33">
        <v>0</v>
      </c>
      <c r="G123" s="33">
        <v>0</v>
      </c>
      <c r="H123" s="33">
        <v>0</v>
      </c>
      <c r="I123" s="33">
        <v>0</v>
      </c>
      <c r="J123" s="33">
        <v>0</v>
      </c>
      <c r="K123" s="33">
        <v>0</v>
      </c>
      <c r="L123" s="33">
        <v>189558.49535499999</v>
      </c>
      <c r="M123" s="33">
        <v>0</v>
      </c>
      <c r="N123" s="33">
        <v>0</v>
      </c>
      <c r="O123" s="33">
        <v>0</v>
      </c>
      <c r="P123" s="33">
        <v>0</v>
      </c>
      <c r="Q123" s="33">
        <v>0</v>
      </c>
      <c r="R123" s="33">
        <v>0</v>
      </c>
      <c r="S123" s="33">
        <v>0</v>
      </c>
      <c r="T123" s="33">
        <v>0</v>
      </c>
      <c r="U123" s="33">
        <v>0</v>
      </c>
      <c r="V123" s="33">
        <v>0</v>
      </c>
      <c r="W123" s="33">
        <v>13602.298105</v>
      </c>
      <c r="X123" s="33">
        <v>0</v>
      </c>
      <c r="Y123" s="33">
        <v>99885.16</v>
      </c>
      <c r="Z123" s="33">
        <v>0</v>
      </c>
      <c r="AA123" s="33">
        <v>0</v>
      </c>
      <c r="AB123" s="33">
        <v>0</v>
      </c>
      <c r="AC123" s="33">
        <v>0</v>
      </c>
      <c r="AD123" s="33">
        <v>0</v>
      </c>
      <c r="AE123" s="33">
        <v>0</v>
      </c>
    </row>
    <row r="124" spans="2:31" ht="15.95" hidden="1" customHeight="1" outlineLevel="2" x14ac:dyDescent="0.2">
      <c r="B124" s="31" t="s">
        <v>159</v>
      </c>
      <c r="C124" s="31" t="s">
        <v>177</v>
      </c>
      <c r="D124" s="31" t="s">
        <v>320</v>
      </c>
      <c r="E124" s="32">
        <f t="shared" si="4"/>
        <v>37257.97</v>
      </c>
      <c r="F124" s="33">
        <v>0</v>
      </c>
      <c r="G124" s="33">
        <v>0</v>
      </c>
      <c r="H124" s="33">
        <v>0</v>
      </c>
      <c r="I124" s="33">
        <v>0</v>
      </c>
      <c r="J124" s="33">
        <v>0</v>
      </c>
      <c r="K124" s="33">
        <v>0</v>
      </c>
      <c r="L124" s="33">
        <v>0</v>
      </c>
      <c r="M124" s="33">
        <v>0</v>
      </c>
      <c r="N124" s="33">
        <v>37257.97</v>
      </c>
      <c r="O124" s="33">
        <v>0</v>
      </c>
      <c r="P124" s="33">
        <v>0</v>
      </c>
      <c r="Q124" s="33">
        <v>0</v>
      </c>
      <c r="R124" s="33">
        <v>0</v>
      </c>
      <c r="S124" s="33">
        <v>0</v>
      </c>
      <c r="T124" s="33">
        <v>0</v>
      </c>
      <c r="U124" s="33">
        <v>0</v>
      </c>
      <c r="V124" s="33">
        <v>0</v>
      </c>
      <c r="W124" s="33">
        <v>0</v>
      </c>
      <c r="X124" s="33">
        <v>0</v>
      </c>
      <c r="Y124" s="33">
        <v>0</v>
      </c>
      <c r="Z124" s="33">
        <v>0</v>
      </c>
      <c r="AA124" s="33">
        <v>0</v>
      </c>
      <c r="AB124" s="33">
        <v>0</v>
      </c>
      <c r="AC124" s="33">
        <v>0</v>
      </c>
      <c r="AD124" s="33">
        <v>0</v>
      </c>
      <c r="AE124" s="33">
        <v>0</v>
      </c>
    </row>
    <row r="125" spans="2:31" ht="15.95" hidden="1" customHeight="1" outlineLevel="2" x14ac:dyDescent="0.2">
      <c r="B125" s="31" t="s">
        <v>159</v>
      </c>
      <c r="C125" s="31" t="s">
        <v>178</v>
      </c>
      <c r="D125" s="31" t="s">
        <v>321</v>
      </c>
      <c r="E125" s="32">
        <f t="shared" si="4"/>
        <v>0</v>
      </c>
      <c r="F125" s="33">
        <v>0</v>
      </c>
      <c r="G125" s="33">
        <v>0</v>
      </c>
      <c r="H125" s="33">
        <v>0</v>
      </c>
      <c r="I125" s="33">
        <v>0</v>
      </c>
      <c r="J125" s="33">
        <v>0</v>
      </c>
      <c r="K125" s="33">
        <v>0</v>
      </c>
      <c r="L125" s="33">
        <v>0</v>
      </c>
      <c r="M125" s="33">
        <v>0</v>
      </c>
      <c r="N125" s="33">
        <v>0</v>
      </c>
      <c r="O125" s="33">
        <v>0</v>
      </c>
      <c r="P125" s="33">
        <v>0</v>
      </c>
      <c r="Q125" s="33">
        <v>0</v>
      </c>
      <c r="R125" s="33">
        <v>0</v>
      </c>
      <c r="S125" s="33">
        <v>0</v>
      </c>
      <c r="T125" s="33">
        <v>0</v>
      </c>
      <c r="U125" s="33">
        <v>0</v>
      </c>
      <c r="V125" s="33">
        <v>0</v>
      </c>
      <c r="W125" s="33">
        <v>0</v>
      </c>
      <c r="X125" s="33">
        <v>0</v>
      </c>
      <c r="Y125" s="33">
        <v>0</v>
      </c>
      <c r="Z125" s="33">
        <v>0</v>
      </c>
      <c r="AA125" s="33">
        <v>0</v>
      </c>
      <c r="AB125" s="33">
        <v>0</v>
      </c>
      <c r="AC125" s="33">
        <v>0</v>
      </c>
      <c r="AD125" s="33">
        <v>0</v>
      </c>
      <c r="AE125" s="33">
        <v>0</v>
      </c>
    </row>
    <row r="126" spans="2:31" ht="15.95" hidden="1" customHeight="1" outlineLevel="2" x14ac:dyDescent="0.2">
      <c r="B126" s="31" t="s">
        <v>159</v>
      </c>
      <c r="C126" s="31" t="s">
        <v>179</v>
      </c>
      <c r="D126" s="31" t="s">
        <v>322</v>
      </c>
      <c r="E126" s="32">
        <f t="shared" si="4"/>
        <v>102501.94635499999</v>
      </c>
      <c r="F126" s="33">
        <v>0</v>
      </c>
      <c r="G126" s="33">
        <v>0</v>
      </c>
      <c r="H126" s="33">
        <v>0</v>
      </c>
      <c r="I126" s="33">
        <v>0</v>
      </c>
      <c r="J126" s="33">
        <v>0</v>
      </c>
      <c r="K126" s="33">
        <v>0</v>
      </c>
      <c r="L126" s="33">
        <v>0</v>
      </c>
      <c r="M126" s="33">
        <v>0</v>
      </c>
      <c r="N126" s="33">
        <v>0</v>
      </c>
      <c r="O126" s="33">
        <v>41125.74</v>
      </c>
      <c r="P126" s="33">
        <v>0</v>
      </c>
      <c r="Q126" s="33">
        <v>20599.111164999998</v>
      </c>
      <c r="R126" s="33">
        <v>0</v>
      </c>
      <c r="S126" s="33">
        <v>0</v>
      </c>
      <c r="T126" s="33">
        <v>0</v>
      </c>
      <c r="U126" s="33">
        <v>0</v>
      </c>
      <c r="V126" s="33">
        <v>30294.537569999997</v>
      </c>
      <c r="W126" s="33">
        <v>0</v>
      </c>
      <c r="X126" s="33">
        <v>10482.55762</v>
      </c>
      <c r="Y126" s="33">
        <v>0</v>
      </c>
      <c r="Z126" s="33">
        <v>0</v>
      </c>
      <c r="AA126" s="33">
        <v>0</v>
      </c>
      <c r="AB126" s="33">
        <v>0</v>
      </c>
      <c r="AC126" s="33">
        <v>0</v>
      </c>
      <c r="AD126" s="33">
        <v>0</v>
      </c>
      <c r="AE126" s="33">
        <v>0</v>
      </c>
    </row>
    <row r="127" spans="2:31" ht="15.95" hidden="1" customHeight="1" outlineLevel="2" x14ac:dyDescent="0.2">
      <c r="B127" s="31" t="s">
        <v>159</v>
      </c>
      <c r="C127" s="31" t="s">
        <v>180</v>
      </c>
      <c r="D127" s="31" t="s">
        <v>323</v>
      </c>
      <c r="E127" s="32">
        <f t="shared" si="4"/>
        <v>169506.87398499998</v>
      </c>
      <c r="F127" s="33">
        <v>0</v>
      </c>
      <c r="G127" s="33">
        <v>0</v>
      </c>
      <c r="H127" s="33">
        <v>0</v>
      </c>
      <c r="I127" s="33">
        <v>0</v>
      </c>
      <c r="J127" s="33">
        <v>0</v>
      </c>
      <c r="K127" s="33">
        <v>0</v>
      </c>
      <c r="L127" s="33">
        <v>17194.23948</v>
      </c>
      <c r="M127" s="33">
        <v>0</v>
      </c>
      <c r="N127" s="33">
        <v>0</v>
      </c>
      <c r="O127" s="33">
        <v>0</v>
      </c>
      <c r="P127" s="33">
        <v>0</v>
      </c>
      <c r="Q127" s="33">
        <v>0</v>
      </c>
      <c r="R127" s="33">
        <v>0</v>
      </c>
      <c r="S127" s="33">
        <v>0</v>
      </c>
      <c r="T127" s="33">
        <v>0</v>
      </c>
      <c r="U127" s="33">
        <v>0</v>
      </c>
      <c r="V127" s="33">
        <v>0</v>
      </c>
      <c r="W127" s="33">
        <v>152312.63450499999</v>
      </c>
      <c r="X127" s="33">
        <v>0</v>
      </c>
      <c r="Y127" s="33">
        <v>0</v>
      </c>
      <c r="Z127" s="33">
        <v>0</v>
      </c>
      <c r="AA127" s="33">
        <v>0</v>
      </c>
      <c r="AB127" s="33">
        <v>0</v>
      </c>
      <c r="AC127" s="33">
        <v>0</v>
      </c>
      <c r="AD127" s="33">
        <v>0</v>
      </c>
      <c r="AE127" s="33">
        <v>0</v>
      </c>
    </row>
    <row r="128" spans="2:31" ht="15.95" hidden="1" customHeight="1" outlineLevel="2" x14ac:dyDescent="0.2">
      <c r="B128" s="31" t="s">
        <v>159</v>
      </c>
      <c r="C128" s="31" t="s">
        <v>181</v>
      </c>
      <c r="D128" s="31" t="s">
        <v>324</v>
      </c>
      <c r="E128" s="32">
        <f t="shared" si="4"/>
        <v>8185.21</v>
      </c>
      <c r="F128" s="33">
        <v>0</v>
      </c>
      <c r="G128" s="33">
        <v>0</v>
      </c>
      <c r="H128" s="33">
        <v>0</v>
      </c>
      <c r="I128" s="33">
        <v>0</v>
      </c>
      <c r="J128" s="33">
        <v>0</v>
      </c>
      <c r="K128" s="33">
        <v>0</v>
      </c>
      <c r="L128" s="33">
        <v>0</v>
      </c>
      <c r="M128" s="33">
        <v>0</v>
      </c>
      <c r="N128" s="33">
        <v>0</v>
      </c>
      <c r="O128" s="33">
        <v>0</v>
      </c>
      <c r="P128" s="33">
        <v>0</v>
      </c>
      <c r="Q128" s="33">
        <v>0</v>
      </c>
      <c r="R128" s="33">
        <v>0</v>
      </c>
      <c r="S128" s="33">
        <v>0</v>
      </c>
      <c r="T128" s="33">
        <v>0</v>
      </c>
      <c r="U128" s="33">
        <v>0</v>
      </c>
      <c r="V128" s="33">
        <v>0</v>
      </c>
      <c r="W128" s="33">
        <v>0</v>
      </c>
      <c r="X128" s="33">
        <v>0</v>
      </c>
      <c r="Y128" s="33">
        <v>8185.21</v>
      </c>
      <c r="Z128" s="33">
        <v>0</v>
      </c>
      <c r="AA128" s="33">
        <v>0</v>
      </c>
      <c r="AB128" s="33">
        <v>0</v>
      </c>
      <c r="AC128" s="33">
        <v>0</v>
      </c>
      <c r="AD128" s="33">
        <v>0</v>
      </c>
      <c r="AE128" s="33">
        <v>0</v>
      </c>
    </row>
    <row r="129" spans="1:31" ht="15.95" hidden="1" customHeight="1" outlineLevel="2" x14ac:dyDescent="0.2">
      <c r="B129" s="31" t="s">
        <v>159</v>
      </c>
      <c r="C129" s="31" t="s">
        <v>182</v>
      </c>
      <c r="D129" s="31" t="s">
        <v>325</v>
      </c>
      <c r="E129" s="32">
        <f t="shared" si="4"/>
        <v>158451.84385000003</v>
      </c>
      <c r="F129" s="33">
        <v>0</v>
      </c>
      <c r="G129" s="33">
        <v>0</v>
      </c>
      <c r="H129" s="33">
        <v>0</v>
      </c>
      <c r="I129" s="33">
        <v>0</v>
      </c>
      <c r="J129" s="33">
        <v>0</v>
      </c>
      <c r="K129" s="33">
        <v>0</v>
      </c>
      <c r="L129" s="33">
        <v>0</v>
      </c>
      <c r="M129" s="33">
        <v>0</v>
      </c>
      <c r="N129" s="33">
        <v>0</v>
      </c>
      <c r="O129" s="33">
        <v>10904.66</v>
      </c>
      <c r="P129" s="33">
        <v>0</v>
      </c>
      <c r="Q129" s="33">
        <v>0</v>
      </c>
      <c r="R129" s="33">
        <v>0</v>
      </c>
      <c r="S129" s="33">
        <v>0</v>
      </c>
      <c r="T129" s="33">
        <v>0</v>
      </c>
      <c r="U129" s="33">
        <v>0</v>
      </c>
      <c r="V129" s="33">
        <v>0</v>
      </c>
      <c r="W129" s="33">
        <v>0</v>
      </c>
      <c r="X129" s="33">
        <v>147547.18385000003</v>
      </c>
      <c r="Y129" s="33">
        <v>0</v>
      </c>
      <c r="Z129" s="33">
        <v>0</v>
      </c>
      <c r="AA129" s="33">
        <v>0</v>
      </c>
      <c r="AB129" s="33">
        <v>0</v>
      </c>
      <c r="AC129" s="33">
        <v>0</v>
      </c>
      <c r="AD129" s="33">
        <v>0</v>
      </c>
      <c r="AE129" s="33">
        <v>0</v>
      </c>
    </row>
    <row r="130" spans="1:31" ht="15.95" hidden="1" customHeight="1" outlineLevel="2" x14ac:dyDescent="0.2">
      <c r="B130" s="31" t="s">
        <v>159</v>
      </c>
      <c r="C130" s="31" t="s">
        <v>183</v>
      </c>
      <c r="D130" s="31" t="s">
        <v>326</v>
      </c>
      <c r="E130" s="32">
        <f t="shared" si="4"/>
        <v>1166.31</v>
      </c>
      <c r="F130" s="33">
        <v>0</v>
      </c>
      <c r="G130" s="33">
        <v>0</v>
      </c>
      <c r="H130" s="33">
        <v>0</v>
      </c>
      <c r="I130" s="33">
        <v>0</v>
      </c>
      <c r="J130" s="33">
        <v>0</v>
      </c>
      <c r="K130" s="33">
        <v>0</v>
      </c>
      <c r="L130" s="33">
        <v>0</v>
      </c>
      <c r="M130" s="33">
        <v>0</v>
      </c>
      <c r="N130" s="33">
        <v>1166.31</v>
      </c>
      <c r="O130" s="33">
        <v>0</v>
      </c>
      <c r="P130" s="33">
        <v>0</v>
      </c>
      <c r="Q130" s="33">
        <v>0</v>
      </c>
      <c r="R130" s="33">
        <v>0</v>
      </c>
      <c r="S130" s="33">
        <v>0</v>
      </c>
      <c r="T130" s="33">
        <v>0</v>
      </c>
      <c r="U130" s="33">
        <v>0</v>
      </c>
      <c r="V130" s="33">
        <v>0</v>
      </c>
      <c r="W130" s="33">
        <v>0</v>
      </c>
      <c r="X130" s="33">
        <v>0</v>
      </c>
      <c r="Y130" s="33">
        <v>0</v>
      </c>
      <c r="Z130" s="33">
        <v>0</v>
      </c>
      <c r="AA130" s="33">
        <v>0</v>
      </c>
      <c r="AB130" s="33">
        <v>0</v>
      </c>
      <c r="AC130" s="33">
        <v>0</v>
      </c>
      <c r="AD130" s="33">
        <v>0</v>
      </c>
      <c r="AE130" s="33">
        <v>0</v>
      </c>
    </row>
    <row r="131" spans="1:31" ht="15.95" hidden="1" customHeight="1" outlineLevel="2" x14ac:dyDescent="0.2">
      <c r="B131" s="31" t="s">
        <v>159</v>
      </c>
      <c r="C131" s="31" t="s">
        <v>184</v>
      </c>
      <c r="D131" s="31" t="s">
        <v>327</v>
      </c>
      <c r="E131" s="32">
        <f t="shared" si="4"/>
        <v>33572.06</v>
      </c>
      <c r="F131" s="33">
        <v>0</v>
      </c>
      <c r="G131" s="33">
        <v>0</v>
      </c>
      <c r="H131" s="33">
        <v>0</v>
      </c>
      <c r="I131" s="33">
        <v>0</v>
      </c>
      <c r="J131" s="33">
        <v>0</v>
      </c>
      <c r="K131" s="33">
        <v>0</v>
      </c>
      <c r="L131" s="33">
        <v>0</v>
      </c>
      <c r="M131" s="33">
        <v>0</v>
      </c>
      <c r="N131" s="33">
        <v>0</v>
      </c>
      <c r="O131" s="33">
        <v>0</v>
      </c>
      <c r="P131" s="33">
        <v>0</v>
      </c>
      <c r="Q131" s="33">
        <v>0</v>
      </c>
      <c r="R131" s="33">
        <v>0</v>
      </c>
      <c r="S131" s="33">
        <v>0</v>
      </c>
      <c r="T131" s="33">
        <v>0</v>
      </c>
      <c r="U131" s="33">
        <v>0</v>
      </c>
      <c r="V131" s="33">
        <v>0</v>
      </c>
      <c r="W131" s="33">
        <v>0</v>
      </c>
      <c r="X131" s="33">
        <v>0</v>
      </c>
      <c r="Y131" s="33">
        <v>0</v>
      </c>
      <c r="Z131" s="33">
        <v>0</v>
      </c>
      <c r="AA131" s="33">
        <v>33572.06</v>
      </c>
      <c r="AB131" s="33">
        <v>0</v>
      </c>
      <c r="AC131" s="33">
        <v>0</v>
      </c>
      <c r="AD131" s="33">
        <v>0</v>
      </c>
      <c r="AE131" s="33">
        <v>0</v>
      </c>
    </row>
    <row r="132" spans="1:31" ht="15.95" hidden="1" customHeight="1" outlineLevel="2" x14ac:dyDescent="0.2">
      <c r="B132" s="31" t="s">
        <v>159</v>
      </c>
      <c r="C132" s="31" t="s">
        <v>185</v>
      </c>
      <c r="D132" s="31" t="s">
        <v>328</v>
      </c>
      <c r="E132" s="32">
        <f t="shared" si="4"/>
        <v>0</v>
      </c>
      <c r="F132" s="33">
        <v>0</v>
      </c>
      <c r="G132" s="33">
        <v>0</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c r="AA132" s="33">
        <v>0</v>
      </c>
      <c r="AB132" s="33">
        <v>0</v>
      </c>
      <c r="AC132" s="33">
        <v>0</v>
      </c>
      <c r="AD132" s="33">
        <v>0</v>
      </c>
      <c r="AE132" s="33">
        <v>0</v>
      </c>
    </row>
    <row r="133" spans="1:31" ht="15.95" customHeight="1" outlineLevel="1" collapsed="1" x14ac:dyDescent="0.2">
      <c r="A133" s="6">
        <v>18</v>
      </c>
      <c r="B133" s="34"/>
      <c r="C133" s="31"/>
      <c r="D133" s="14" t="s">
        <v>186</v>
      </c>
      <c r="E133" s="22">
        <f t="shared" ref="E133:AE133" si="7">SUBTOTAL(9,E107:E132)</f>
        <v>1348059.3099736501</v>
      </c>
      <c r="F133" s="22">
        <f t="shared" si="7"/>
        <v>7641.52</v>
      </c>
      <c r="G133" s="22">
        <f t="shared" si="7"/>
        <v>46535.41</v>
      </c>
      <c r="H133" s="22">
        <f t="shared" si="7"/>
        <v>23889.62</v>
      </c>
      <c r="I133" s="22">
        <f t="shared" si="7"/>
        <v>0</v>
      </c>
      <c r="J133" s="22">
        <f t="shared" si="7"/>
        <v>0</v>
      </c>
      <c r="K133" s="22">
        <f t="shared" si="7"/>
        <v>16940.27637</v>
      </c>
      <c r="L133" s="22">
        <f t="shared" si="7"/>
        <v>383217.71721000003</v>
      </c>
      <c r="M133" s="22">
        <f t="shared" si="7"/>
        <v>0</v>
      </c>
      <c r="N133" s="22">
        <f t="shared" si="7"/>
        <v>38424.28</v>
      </c>
      <c r="O133" s="22">
        <f t="shared" si="7"/>
        <v>52030.399999999994</v>
      </c>
      <c r="P133" s="22">
        <f t="shared" si="7"/>
        <v>0</v>
      </c>
      <c r="Q133" s="22">
        <f t="shared" si="7"/>
        <v>24662.461104999998</v>
      </c>
      <c r="R133" s="22">
        <f t="shared" si="7"/>
        <v>44700.903575000004</v>
      </c>
      <c r="S133" s="22">
        <f t="shared" si="7"/>
        <v>0</v>
      </c>
      <c r="T133" s="22">
        <f t="shared" si="7"/>
        <v>76390.603195000003</v>
      </c>
      <c r="U133" s="22">
        <f t="shared" si="7"/>
        <v>0</v>
      </c>
      <c r="V133" s="22">
        <f t="shared" si="7"/>
        <v>30294.537569999997</v>
      </c>
      <c r="W133" s="22">
        <f t="shared" si="7"/>
        <v>185176.93260999999</v>
      </c>
      <c r="X133" s="22">
        <f t="shared" si="7"/>
        <v>166595.18293000004</v>
      </c>
      <c r="Y133" s="22">
        <f t="shared" si="7"/>
        <v>192554.25999999998</v>
      </c>
      <c r="Z133" s="22">
        <f t="shared" si="7"/>
        <v>0</v>
      </c>
      <c r="AA133" s="22">
        <f t="shared" si="7"/>
        <v>43053.549999999996</v>
      </c>
      <c r="AB133" s="22">
        <f t="shared" si="7"/>
        <v>5000.51</v>
      </c>
      <c r="AC133" s="22">
        <f t="shared" si="7"/>
        <v>10951.145408650194</v>
      </c>
      <c r="AD133" s="22">
        <f t="shared" si="7"/>
        <v>0</v>
      </c>
      <c r="AE133" s="22">
        <f t="shared" si="7"/>
        <v>0</v>
      </c>
    </row>
    <row r="134" spans="1:31" ht="15.95" hidden="1" customHeight="1" outlineLevel="2" x14ac:dyDescent="0.2">
      <c r="B134" s="31" t="s">
        <v>187</v>
      </c>
      <c r="C134" s="31" t="s">
        <v>160</v>
      </c>
      <c r="D134" s="31" t="s">
        <v>303</v>
      </c>
      <c r="E134" s="32">
        <f t="shared" si="4"/>
        <v>383502.39090164134</v>
      </c>
      <c r="F134" s="33">
        <v>141597.89000000001</v>
      </c>
      <c r="G134" s="33">
        <v>0</v>
      </c>
      <c r="H134" s="33">
        <v>0</v>
      </c>
      <c r="I134" s="33">
        <v>0</v>
      </c>
      <c r="J134" s="33">
        <v>0</v>
      </c>
      <c r="K134" s="33">
        <v>0</v>
      </c>
      <c r="L134" s="33">
        <v>0</v>
      </c>
      <c r="M134" s="33">
        <v>0</v>
      </c>
      <c r="N134" s="33">
        <v>0</v>
      </c>
      <c r="O134" s="33">
        <v>0</v>
      </c>
      <c r="P134" s="33">
        <v>0</v>
      </c>
      <c r="Q134" s="33">
        <v>0</v>
      </c>
      <c r="R134" s="33">
        <v>0</v>
      </c>
      <c r="S134" s="33">
        <v>0</v>
      </c>
      <c r="T134" s="33">
        <v>0</v>
      </c>
      <c r="U134" s="33">
        <v>0</v>
      </c>
      <c r="V134" s="33">
        <v>0</v>
      </c>
      <c r="W134" s="33">
        <v>0</v>
      </c>
      <c r="X134" s="33">
        <v>0</v>
      </c>
      <c r="Y134" s="33">
        <v>0</v>
      </c>
      <c r="Z134" s="33">
        <v>0</v>
      </c>
      <c r="AA134" s="33">
        <v>0</v>
      </c>
      <c r="AB134" s="33">
        <v>0</v>
      </c>
      <c r="AC134" s="33">
        <v>241904.50090164132</v>
      </c>
      <c r="AD134" s="33">
        <v>0</v>
      </c>
      <c r="AE134" s="33">
        <v>0</v>
      </c>
    </row>
    <row r="135" spans="1:31" ht="15.95" hidden="1" customHeight="1" outlineLevel="2" x14ac:dyDescent="0.2">
      <c r="B135" s="31" t="s">
        <v>187</v>
      </c>
      <c r="C135" s="31" t="s">
        <v>161</v>
      </c>
      <c r="D135" s="31" t="s">
        <v>304</v>
      </c>
      <c r="E135" s="32">
        <f t="shared" si="4"/>
        <v>0</v>
      </c>
      <c r="F135" s="33">
        <v>0</v>
      </c>
      <c r="G135" s="33">
        <v>0</v>
      </c>
      <c r="H135" s="33">
        <v>0</v>
      </c>
      <c r="I135" s="33">
        <v>0</v>
      </c>
      <c r="J135" s="33">
        <v>0</v>
      </c>
      <c r="K135" s="33">
        <v>0</v>
      </c>
      <c r="L135" s="33">
        <v>0</v>
      </c>
      <c r="M135" s="33">
        <v>0</v>
      </c>
      <c r="N135" s="33">
        <v>0</v>
      </c>
      <c r="O135" s="33">
        <v>0</v>
      </c>
      <c r="P135" s="33">
        <v>0</v>
      </c>
      <c r="Q135" s="33">
        <v>0</v>
      </c>
      <c r="R135" s="33">
        <v>0</v>
      </c>
      <c r="S135" s="33">
        <v>0</v>
      </c>
      <c r="T135" s="33">
        <v>0</v>
      </c>
      <c r="U135" s="33">
        <v>0</v>
      </c>
      <c r="V135" s="33">
        <v>0</v>
      </c>
      <c r="W135" s="33">
        <v>0</v>
      </c>
      <c r="X135" s="33">
        <v>0</v>
      </c>
      <c r="Y135" s="33">
        <v>0</v>
      </c>
      <c r="Z135" s="33">
        <v>0</v>
      </c>
      <c r="AA135" s="33">
        <v>0</v>
      </c>
      <c r="AB135" s="33">
        <v>0</v>
      </c>
      <c r="AC135" s="33">
        <v>0</v>
      </c>
      <c r="AD135" s="33">
        <v>0</v>
      </c>
      <c r="AE135" s="33">
        <v>0</v>
      </c>
    </row>
    <row r="136" spans="1:31" ht="15.95" hidden="1" customHeight="1" outlineLevel="2" x14ac:dyDescent="0.2">
      <c r="B136" s="31" t="s">
        <v>187</v>
      </c>
      <c r="C136" s="31" t="s">
        <v>162</v>
      </c>
      <c r="D136" s="31" t="s">
        <v>305</v>
      </c>
      <c r="E136" s="32">
        <f t="shared" si="4"/>
        <v>344044.01</v>
      </c>
      <c r="F136" s="33">
        <v>0</v>
      </c>
      <c r="G136" s="33">
        <v>0</v>
      </c>
      <c r="H136" s="33">
        <v>0</v>
      </c>
      <c r="I136" s="33">
        <v>0</v>
      </c>
      <c r="J136" s="33">
        <v>0</v>
      </c>
      <c r="K136" s="33">
        <v>0</v>
      </c>
      <c r="L136" s="33">
        <v>0</v>
      </c>
      <c r="M136" s="33">
        <v>0</v>
      </c>
      <c r="N136" s="33">
        <v>0</v>
      </c>
      <c r="O136" s="33">
        <v>0</v>
      </c>
      <c r="P136" s="33">
        <v>0</v>
      </c>
      <c r="Q136" s="33">
        <v>0</v>
      </c>
      <c r="R136" s="33">
        <v>0</v>
      </c>
      <c r="S136" s="33">
        <v>0</v>
      </c>
      <c r="T136" s="33">
        <v>0</v>
      </c>
      <c r="U136" s="33">
        <v>344044.01</v>
      </c>
      <c r="V136" s="33">
        <v>0</v>
      </c>
      <c r="W136" s="33">
        <v>0</v>
      </c>
      <c r="X136" s="33">
        <v>0</v>
      </c>
      <c r="Y136" s="33">
        <v>0</v>
      </c>
      <c r="Z136" s="33">
        <v>0</v>
      </c>
      <c r="AA136" s="33">
        <v>0</v>
      </c>
      <c r="AB136" s="33">
        <v>0</v>
      </c>
      <c r="AC136" s="33">
        <v>0</v>
      </c>
      <c r="AD136" s="33">
        <v>0</v>
      </c>
      <c r="AE136" s="33">
        <v>0</v>
      </c>
    </row>
    <row r="137" spans="1:31" ht="15.95" hidden="1" customHeight="1" outlineLevel="2" x14ac:dyDescent="0.2">
      <c r="B137" s="31" t="s">
        <v>187</v>
      </c>
      <c r="C137" s="31" t="s">
        <v>163</v>
      </c>
      <c r="D137" s="31" t="s">
        <v>306</v>
      </c>
      <c r="E137" s="32">
        <f t="shared" si="4"/>
        <v>2372302.1935950001</v>
      </c>
      <c r="F137" s="33">
        <v>0</v>
      </c>
      <c r="G137" s="33">
        <v>0</v>
      </c>
      <c r="H137" s="33">
        <v>0</v>
      </c>
      <c r="I137" s="33">
        <v>0</v>
      </c>
      <c r="J137" s="33">
        <v>0</v>
      </c>
      <c r="K137" s="33">
        <v>0</v>
      </c>
      <c r="L137" s="33">
        <v>69245.789999999994</v>
      </c>
      <c r="M137" s="33">
        <v>0</v>
      </c>
      <c r="N137" s="33">
        <v>0</v>
      </c>
      <c r="O137" s="33">
        <v>0</v>
      </c>
      <c r="P137" s="33">
        <v>0</v>
      </c>
      <c r="Q137" s="33">
        <v>0</v>
      </c>
      <c r="R137" s="33">
        <v>0</v>
      </c>
      <c r="S137" s="33">
        <v>0</v>
      </c>
      <c r="T137" s="33">
        <v>1294592.8935949998</v>
      </c>
      <c r="U137" s="33">
        <v>970059.43</v>
      </c>
      <c r="V137" s="33">
        <v>0</v>
      </c>
      <c r="W137" s="33">
        <v>0</v>
      </c>
      <c r="X137" s="33">
        <v>0</v>
      </c>
      <c r="Y137" s="33">
        <v>38404.080000000002</v>
      </c>
      <c r="Z137" s="33">
        <v>0</v>
      </c>
      <c r="AA137" s="33">
        <v>0</v>
      </c>
      <c r="AB137" s="33">
        <v>0</v>
      </c>
      <c r="AC137" s="33">
        <v>0</v>
      </c>
      <c r="AD137" s="33">
        <v>0</v>
      </c>
      <c r="AE137" s="33">
        <v>0</v>
      </c>
    </row>
    <row r="138" spans="1:31" ht="15.95" hidden="1" customHeight="1" outlineLevel="2" x14ac:dyDescent="0.2">
      <c r="B138" s="31" t="s">
        <v>187</v>
      </c>
      <c r="C138" s="31" t="s">
        <v>164</v>
      </c>
      <c r="D138" s="31" t="s">
        <v>307</v>
      </c>
      <c r="E138" s="32">
        <f t="shared" si="4"/>
        <v>1027940.67891</v>
      </c>
      <c r="F138" s="33">
        <v>0</v>
      </c>
      <c r="G138" s="33">
        <v>0</v>
      </c>
      <c r="H138" s="33">
        <v>0</v>
      </c>
      <c r="I138" s="33">
        <v>0</v>
      </c>
      <c r="J138" s="33">
        <v>0</v>
      </c>
      <c r="K138" s="33">
        <v>0</v>
      </c>
      <c r="L138" s="33">
        <v>119952.09891</v>
      </c>
      <c r="M138" s="33">
        <v>0</v>
      </c>
      <c r="N138" s="33">
        <v>0</v>
      </c>
      <c r="O138" s="33">
        <v>0</v>
      </c>
      <c r="P138" s="33">
        <v>0</v>
      </c>
      <c r="Q138" s="33">
        <v>0</v>
      </c>
      <c r="R138" s="33">
        <v>0</v>
      </c>
      <c r="S138" s="33">
        <v>0</v>
      </c>
      <c r="T138" s="33">
        <v>0</v>
      </c>
      <c r="U138" s="33">
        <v>886917.58</v>
      </c>
      <c r="V138" s="33">
        <v>0</v>
      </c>
      <c r="W138" s="33">
        <v>0</v>
      </c>
      <c r="X138" s="33">
        <v>0</v>
      </c>
      <c r="Y138" s="33">
        <v>21071</v>
      </c>
      <c r="Z138" s="33">
        <v>0</v>
      </c>
      <c r="AA138" s="33">
        <v>0</v>
      </c>
      <c r="AB138" s="33">
        <v>0</v>
      </c>
      <c r="AC138" s="33">
        <v>0</v>
      </c>
      <c r="AD138" s="33">
        <v>0</v>
      </c>
      <c r="AE138" s="33">
        <v>0</v>
      </c>
    </row>
    <row r="139" spans="1:31" ht="15.95" hidden="1" customHeight="1" outlineLevel="2" x14ac:dyDescent="0.2">
      <c r="B139" s="31" t="s">
        <v>187</v>
      </c>
      <c r="C139" s="31" t="s">
        <v>165</v>
      </c>
      <c r="D139" s="31" t="s">
        <v>308</v>
      </c>
      <c r="E139" s="32">
        <f t="shared" si="4"/>
        <v>1181.4522299999999</v>
      </c>
      <c r="F139" s="33">
        <v>0</v>
      </c>
      <c r="G139" s="33">
        <v>0</v>
      </c>
      <c r="H139" s="33">
        <v>0</v>
      </c>
      <c r="I139" s="33">
        <v>0</v>
      </c>
      <c r="J139" s="33">
        <v>0</v>
      </c>
      <c r="K139" s="33">
        <v>0</v>
      </c>
      <c r="L139" s="33">
        <v>0</v>
      </c>
      <c r="M139" s="33">
        <v>0</v>
      </c>
      <c r="N139" s="33">
        <v>0</v>
      </c>
      <c r="O139" s="33">
        <v>0</v>
      </c>
      <c r="P139" s="33">
        <v>0</v>
      </c>
      <c r="Q139" s="33">
        <v>0</v>
      </c>
      <c r="R139" s="33">
        <v>0</v>
      </c>
      <c r="S139" s="33">
        <v>0</v>
      </c>
      <c r="T139" s="33">
        <v>1181.4522299999999</v>
      </c>
      <c r="U139" s="33">
        <v>0</v>
      </c>
      <c r="V139" s="33">
        <v>0</v>
      </c>
      <c r="W139" s="33">
        <v>0</v>
      </c>
      <c r="X139" s="33">
        <v>0</v>
      </c>
      <c r="Y139" s="33">
        <v>0</v>
      </c>
      <c r="Z139" s="33">
        <v>0</v>
      </c>
      <c r="AA139" s="33">
        <v>0</v>
      </c>
      <c r="AB139" s="33">
        <v>0</v>
      </c>
      <c r="AC139" s="33">
        <v>0</v>
      </c>
      <c r="AD139" s="33">
        <v>0</v>
      </c>
      <c r="AE139" s="33">
        <v>0</v>
      </c>
    </row>
    <row r="140" spans="1:31" ht="15.95" hidden="1" customHeight="1" outlineLevel="2" x14ac:dyDescent="0.2">
      <c r="B140" s="31" t="s">
        <v>187</v>
      </c>
      <c r="C140" s="31" t="s">
        <v>166</v>
      </c>
      <c r="D140" s="31" t="s">
        <v>309</v>
      </c>
      <c r="E140" s="32">
        <f t="shared" si="4"/>
        <v>228318.41988999999</v>
      </c>
      <c r="F140" s="33">
        <v>0</v>
      </c>
      <c r="G140" s="33">
        <v>0</v>
      </c>
      <c r="H140" s="33">
        <v>0</v>
      </c>
      <c r="I140" s="33">
        <v>0</v>
      </c>
      <c r="J140" s="33">
        <v>0</v>
      </c>
      <c r="K140" s="33">
        <v>0</v>
      </c>
      <c r="L140" s="33">
        <v>0</v>
      </c>
      <c r="M140" s="33">
        <v>0</v>
      </c>
      <c r="N140" s="33">
        <v>0</v>
      </c>
      <c r="O140" s="33">
        <v>0</v>
      </c>
      <c r="P140" s="33">
        <v>0</v>
      </c>
      <c r="Q140" s="33">
        <v>0</v>
      </c>
      <c r="R140" s="33">
        <v>171835.797735</v>
      </c>
      <c r="S140" s="33">
        <v>0</v>
      </c>
      <c r="T140" s="33">
        <v>39931.852154999993</v>
      </c>
      <c r="U140" s="33">
        <v>0</v>
      </c>
      <c r="V140" s="33">
        <v>0</v>
      </c>
      <c r="W140" s="33">
        <v>0</v>
      </c>
      <c r="X140" s="33">
        <v>0</v>
      </c>
      <c r="Y140" s="33">
        <v>0</v>
      </c>
      <c r="Z140" s="33">
        <v>0</v>
      </c>
      <c r="AA140" s="33">
        <v>16550.77</v>
      </c>
      <c r="AB140" s="33">
        <v>0</v>
      </c>
      <c r="AC140" s="33">
        <v>0</v>
      </c>
      <c r="AD140" s="33">
        <v>0</v>
      </c>
      <c r="AE140" s="33">
        <v>0</v>
      </c>
    </row>
    <row r="141" spans="1:31" ht="15.95" hidden="1" customHeight="1" outlineLevel="2" x14ac:dyDescent="0.2">
      <c r="B141" s="31" t="s">
        <v>187</v>
      </c>
      <c r="C141" s="31" t="s">
        <v>167</v>
      </c>
      <c r="D141" s="31" t="s">
        <v>310</v>
      </c>
      <c r="E141" s="32">
        <f t="shared" si="4"/>
        <v>39180.037972042737</v>
      </c>
      <c r="F141" s="33">
        <v>0</v>
      </c>
      <c r="G141" s="33">
        <v>0</v>
      </c>
      <c r="H141" s="33">
        <v>0</v>
      </c>
      <c r="I141" s="33">
        <v>0</v>
      </c>
      <c r="J141" s="33">
        <v>0</v>
      </c>
      <c r="K141" s="33">
        <v>0</v>
      </c>
      <c r="L141" s="33">
        <v>0</v>
      </c>
      <c r="M141" s="33">
        <v>0</v>
      </c>
      <c r="N141" s="33">
        <v>0</v>
      </c>
      <c r="O141" s="33">
        <v>0</v>
      </c>
      <c r="P141" s="33">
        <v>0</v>
      </c>
      <c r="Q141" s="33">
        <v>0</v>
      </c>
      <c r="R141" s="33">
        <v>0</v>
      </c>
      <c r="S141" s="33">
        <v>0</v>
      </c>
      <c r="T141" s="33">
        <v>0</v>
      </c>
      <c r="U141" s="33">
        <v>0</v>
      </c>
      <c r="V141" s="33">
        <v>0</v>
      </c>
      <c r="W141" s="33">
        <v>0</v>
      </c>
      <c r="X141" s="33">
        <v>0</v>
      </c>
      <c r="Y141" s="33">
        <v>0</v>
      </c>
      <c r="Z141" s="33">
        <v>0</v>
      </c>
      <c r="AA141" s="33">
        <v>0</v>
      </c>
      <c r="AB141" s="33">
        <v>0</v>
      </c>
      <c r="AC141" s="33">
        <v>39180.037972042737</v>
      </c>
      <c r="AD141" s="33">
        <v>0</v>
      </c>
      <c r="AE141" s="33">
        <v>0</v>
      </c>
    </row>
    <row r="142" spans="1:31" ht="15.95" hidden="1" customHeight="1" outlineLevel="2" x14ac:dyDescent="0.2">
      <c r="B142" s="31" t="s">
        <v>187</v>
      </c>
      <c r="C142" s="31" t="s">
        <v>168</v>
      </c>
      <c r="D142" s="31" t="s">
        <v>311</v>
      </c>
      <c r="E142" s="32">
        <f t="shared" si="4"/>
        <v>690528.82428958407</v>
      </c>
      <c r="F142" s="33">
        <v>0</v>
      </c>
      <c r="G142" s="33">
        <v>0</v>
      </c>
      <c r="H142" s="33">
        <v>0</v>
      </c>
      <c r="I142" s="33">
        <v>0</v>
      </c>
      <c r="J142" s="33">
        <v>0</v>
      </c>
      <c r="K142" s="33">
        <v>0</v>
      </c>
      <c r="L142" s="33">
        <v>0</v>
      </c>
      <c r="M142" s="33">
        <v>0</v>
      </c>
      <c r="N142" s="33">
        <v>0</v>
      </c>
      <c r="O142" s="33">
        <v>0</v>
      </c>
      <c r="P142" s="33">
        <v>0</v>
      </c>
      <c r="Q142" s="33">
        <v>0</v>
      </c>
      <c r="R142" s="33">
        <v>0</v>
      </c>
      <c r="S142" s="33">
        <v>0</v>
      </c>
      <c r="T142" s="33">
        <v>0</v>
      </c>
      <c r="U142" s="33">
        <v>0</v>
      </c>
      <c r="V142" s="33">
        <v>0</v>
      </c>
      <c r="W142" s="33">
        <v>0</v>
      </c>
      <c r="X142" s="33">
        <v>0</v>
      </c>
      <c r="Y142" s="33">
        <v>0</v>
      </c>
      <c r="Z142" s="33">
        <v>0</v>
      </c>
      <c r="AA142" s="33">
        <v>0</v>
      </c>
      <c r="AB142" s="33">
        <v>447466.5</v>
      </c>
      <c r="AC142" s="33">
        <v>243062.32428958412</v>
      </c>
      <c r="AD142" s="33">
        <v>0</v>
      </c>
      <c r="AE142" s="33">
        <v>0</v>
      </c>
    </row>
    <row r="143" spans="1:31" ht="15.95" hidden="1" customHeight="1" outlineLevel="2" x14ac:dyDescent="0.2">
      <c r="B143" s="31" t="s">
        <v>187</v>
      </c>
      <c r="C143" s="31" t="s">
        <v>169</v>
      </c>
      <c r="D143" s="31" t="s">
        <v>312</v>
      </c>
      <c r="E143" s="32">
        <f t="shared" si="4"/>
        <v>1173568.80036</v>
      </c>
      <c r="F143" s="33">
        <v>0</v>
      </c>
      <c r="G143" s="33">
        <v>0</v>
      </c>
      <c r="H143" s="33">
        <v>0</v>
      </c>
      <c r="I143" s="33">
        <v>0</v>
      </c>
      <c r="J143" s="33">
        <v>0</v>
      </c>
      <c r="K143" s="33">
        <v>0</v>
      </c>
      <c r="L143" s="33">
        <v>167449.16371499997</v>
      </c>
      <c r="M143" s="33">
        <v>0</v>
      </c>
      <c r="N143" s="33">
        <v>0</v>
      </c>
      <c r="O143" s="33">
        <v>0</v>
      </c>
      <c r="P143" s="33">
        <v>0</v>
      </c>
      <c r="Q143" s="33">
        <v>0</v>
      </c>
      <c r="R143" s="33">
        <v>138723.34368999998</v>
      </c>
      <c r="S143" s="33">
        <v>0</v>
      </c>
      <c r="T143" s="33">
        <v>41838.532955000002</v>
      </c>
      <c r="U143" s="33">
        <v>762788.51</v>
      </c>
      <c r="V143" s="33">
        <v>0</v>
      </c>
      <c r="W143" s="33">
        <v>0</v>
      </c>
      <c r="X143" s="33">
        <v>0</v>
      </c>
      <c r="Y143" s="33">
        <v>51153.95</v>
      </c>
      <c r="Z143" s="33">
        <v>0</v>
      </c>
      <c r="AA143" s="33">
        <v>11615.3</v>
      </c>
      <c r="AB143" s="33">
        <v>0</v>
      </c>
      <c r="AC143" s="33">
        <v>0</v>
      </c>
      <c r="AD143" s="33">
        <v>0</v>
      </c>
      <c r="AE143" s="33">
        <v>0</v>
      </c>
    </row>
    <row r="144" spans="1:31" ht="15.95" hidden="1" customHeight="1" outlineLevel="2" x14ac:dyDescent="0.2">
      <c r="B144" s="31" t="s">
        <v>187</v>
      </c>
      <c r="C144" s="31" t="s">
        <v>170</v>
      </c>
      <c r="D144" s="31" t="s">
        <v>313</v>
      </c>
      <c r="E144" s="32">
        <f t="shared" si="4"/>
        <v>850299.83728778339</v>
      </c>
      <c r="F144" s="33">
        <v>4851.4399999999996</v>
      </c>
      <c r="G144" s="33">
        <v>0</v>
      </c>
      <c r="H144" s="33">
        <v>0</v>
      </c>
      <c r="I144" s="33">
        <v>0</v>
      </c>
      <c r="J144" s="33">
        <v>0</v>
      </c>
      <c r="K144" s="33">
        <v>0</v>
      </c>
      <c r="L144" s="33">
        <v>0</v>
      </c>
      <c r="M144" s="33">
        <v>0</v>
      </c>
      <c r="N144" s="33">
        <v>0</v>
      </c>
      <c r="O144" s="33">
        <v>0</v>
      </c>
      <c r="P144" s="33">
        <v>0</v>
      </c>
      <c r="Q144" s="33">
        <v>0</v>
      </c>
      <c r="R144" s="33">
        <v>0</v>
      </c>
      <c r="S144" s="33">
        <v>0</v>
      </c>
      <c r="T144" s="33">
        <v>0</v>
      </c>
      <c r="U144" s="33">
        <v>0</v>
      </c>
      <c r="V144" s="33">
        <v>0</v>
      </c>
      <c r="W144" s="33">
        <v>0</v>
      </c>
      <c r="X144" s="33">
        <v>0</v>
      </c>
      <c r="Y144" s="33">
        <v>0</v>
      </c>
      <c r="Z144" s="33">
        <v>0</v>
      </c>
      <c r="AA144" s="33">
        <v>0</v>
      </c>
      <c r="AB144" s="33">
        <v>375645.29000000004</v>
      </c>
      <c r="AC144" s="33">
        <v>469803.10728778341</v>
      </c>
      <c r="AD144" s="33">
        <v>0</v>
      </c>
      <c r="AE144" s="33">
        <v>0</v>
      </c>
    </row>
    <row r="145" spans="1:31" ht="15.95" hidden="1" customHeight="1" outlineLevel="2" x14ac:dyDescent="0.2">
      <c r="B145" s="31" t="s">
        <v>187</v>
      </c>
      <c r="C145" s="31" t="s">
        <v>171</v>
      </c>
      <c r="D145" s="31" t="s">
        <v>314</v>
      </c>
      <c r="E145" s="32">
        <f t="shared" si="4"/>
        <v>275400.3420027229</v>
      </c>
      <c r="F145" s="33">
        <v>0</v>
      </c>
      <c r="G145" s="33">
        <v>60936.67</v>
      </c>
      <c r="H145" s="33">
        <v>0</v>
      </c>
      <c r="I145" s="33">
        <v>0</v>
      </c>
      <c r="J145" s="33">
        <v>0</v>
      </c>
      <c r="K145" s="33">
        <v>0</v>
      </c>
      <c r="L145" s="33">
        <v>0</v>
      </c>
      <c r="M145" s="33">
        <v>0</v>
      </c>
      <c r="N145" s="33">
        <v>0</v>
      </c>
      <c r="O145" s="33">
        <v>0</v>
      </c>
      <c r="P145" s="33">
        <v>0</v>
      </c>
      <c r="Q145" s="33">
        <v>0</v>
      </c>
      <c r="R145" s="33">
        <v>0</v>
      </c>
      <c r="S145" s="33">
        <v>0</v>
      </c>
      <c r="T145" s="33">
        <v>0</v>
      </c>
      <c r="U145" s="33">
        <v>0</v>
      </c>
      <c r="V145" s="33">
        <v>0</v>
      </c>
      <c r="W145" s="33">
        <v>0</v>
      </c>
      <c r="X145" s="33">
        <v>0</v>
      </c>
      <c r="Y145" s="33">
        <v>0</v>
      </c>
      <c r="Z145" s="33">
        <v>0</v>
      </c>
      <c r="AA145" s="33">
        <v>0</v>
      </c>
      <c r="AB145" s="33">
        <v>0</v>
      </c>
      <c r="AC145" s="33">
        <v>214463.67200272289</v>
      </c>
      <c r="AD145" s="33">
        <v>0</v>
      </c>
      <c r="AE145" s="33">
        <v>0</v>
      </c>
    </row>
    <row r="146" spans="1:31" ht="15.95" hidden="1" customHeight="1" outlineLevel="2" x14ac:dyDescent="0.2">
      <c r="B146" s="31" t="s">
        <v>187</v>
      </c>
      <c r="C146" s="31" t="s">
        <v>172</v>
      </c>
      <c r="D146" s="31" t="s">
        <v>315</v>
      </c>
      <c r="E146" s="32">
        <f t="shared" si="4"/>
        <v>31282.710000000003</v>
      </c>
      <c r="F146" s="33">
        <v>0</v>
      </c>
      <c r="G146" s="33">
        <v>0</v>
      </c>
      <c r="H146" s="33">
        <v>31282.710000000003</v>
      </c>
      <c r="I146" s="33">
        <v>0</v>
      </c>
      <c r="J146" s="33">
        <v>0</v>
      </c>
      <c r="K146" s="33">
        <v>0</v>
      </c>
      <c r="L146" s="33">
        <v>0</v>
      </c>
      <c r="M146" s="33">
        <v>0</v>
      </c>
      <c r="N146" s="33">
        <v>0</v>
      </c>
      <c r="O146" s="33">
        <v>0</v>
      </c>
      <c r="P146" s="33">
        <v>0</v>
      </c>
      <c r="Q146" s="33">
        <v>0</v>
      </c>
      <c r="R146" s="33">
        <v>0</v>
      </c>
      <c r="S146" s="33">
        <v>0</v>
      </c>
      <c r="T146" s="33">
        <v>0</v>
      </c>
      <c r="U146" s="33">
        <v>0</v>
      </c>
      <c r="V146" s="33">
        <v>0</v>
      </c>
      <c r="W146" s="33">
        <v>0</v>
      </c>
      <c r="X146" s="33">
        <v>0</v>
      </c>
      <c r="Y146" s="33">
        <v>0</v>
      </c>
      <c r="Z146" s="33">
        <v>0</v>
      </c>
      <c r="AA146" s="33">
        <v>0</v>
      </c>
      <c r="AB146" s="33">
        <v>0</v>
      </c>
      <c r="AC146" s="33">
        <v>0</v>
      </c>
      <c r="AD146" s="33">
        <v>0</v>
      </c>
      <c r="AE146" s="33">
        <v>0</v>
      </c>
    </row>
    <row r="147" spans="1:31" ht="15.95" hidden="1" customHeight="1" outlineLevel="2" x14ac:dyDescent="0.2">
      <c r="B147" s="31" t="s">
        <v>187</v>
      </c>
      <c r="C147" s="31" t="s">
        <v>173</v>
      </c>
      <c r="D147" s="31" t="s">
        <v>316</v>
      </c>
      <c r="E147" s="32">
        <f t="shared" si="4"/>
        <v>649790.22</v>
      </c>
      <c r="F147" s="33">
        <v>0</v>
      </c>
      <c r="G147" s="33">
        <v>0</v>
      </c>
      <c r="H147" s="33">
        <v>0</v>
      </c>
      <c r="I147" s="33">
        <v>649790.22</v>
      </c>
      <c r="J147" s="33">
        <v>0</v>
      </c>
      <c r="K147" s="33">
        <v>0</v>
      </c>
      <c r="L147" s="33">
        <v>0</v>
      </c>
      <c r="M147" s="33">
        <v>0</v>
      </c>
      <c r="N147" s="33">
        <v>0</v>
      </c>
      <c r="O147" s="33">
        <v>0</v>
      </c>
      <c r="P147" s="33">
        <v>0</v>
      </c>
      <c r="Q147" s="33">
        <v>0</v>
      </c>
      <c r="R147" s="33">
        <v>0</v>
      </c>
      <c r="S147" s="33">
        <v>0</v>
      </c>
      <c r="T147" s="33">
        <v>0</v>
      </c>
      <c r="U147" s="33">
        <v>0</v>
      </c>
      <c r="V147" s="33">
        <v>0</v>
      </c>
      <c r="W147" s="33">
        <v>0</v>
      </c>
      <c r="X147" s="33">
        <v>0</v>
      </c>
      <c r="Y147" s="33">
        <v>0</v>
      </c>
      <c r="Z147" s="33">
        <v>0</v>
      </c>
      <c r="AA147" s="33">
        <v>0</v>
      </c>
      <c r="AB147" s="33">
        <v>0</v>
      </c>
      <c r="AC147" s="33">
        <v>0</v>
      </c>
      <c r="AD147" s="33">
        <v>0</v>
      </c>
      <c r="AE147" s="33">
        <v>0</v>
      </c>
    </row>
    <row r="148" spans="1:31" ht="15.95" hidden="1" customHeight="1" outlineLevel="2" x14ac:dyDescent="0.2">
      <c r="B148" s="31" t="s">
        <v>187</v>
      </c>
      <c r="C148" s="31" t="s">
        <v>174</v>
      </c>
      <c r="D148" s="31" t="s">
        <v>317</v>
      </c>
      <c r="E148" s="32">
        <f t="shared" si="4"/>
        <v>625736.91086999991</v>
      </c>
      <c r="F148" s="33">
        <v>0</v>
      </c>
      <c r="G148" s="33">
        <v>0</v>
      </c>
      <c r="H148" s="33">
        <v>0</v>
      </c>
      <c r="I148" s="33">
        <v>0</v>
      </c>
      <c r="J148" s="33">
        <v>618793.64999999991</v>
      </c>
      <c r="K148" s="33">
        <v>0</v>
      </c>
      <c r="L148" s="33">
        <v>0</v>
      </c>
      <c r="M148" s="33">
        <v>0</v>
      </c>
      <c r="N148" s="33">
        <v>0</v>
      </c>
      <c r="O148" s="33">
        <v>0</v>
      </c>
      <c r="P148" s="33">
        <v>0</v>
      </c>
      <c r="Q148" s="33">
        <v>0</v>
      </c>
      <c r="R148" s="33">
        <v>0</v>
      </c>
      <c r="S148" s="33">
        <v>0</v>
      </c>
      <c r="T148" s="33">
        <v>6943.2608700000001</v>
      </c>
      <c r="U148" s="33">
        <v>0</v>
      </c>
      <c r="V148" s="33">
        <v>0</v>
      </c>
      <c r="W148" s="33">
        <v>0</v>
      </c>
      <c r="X148" s="33">
        <v>0</v>
      </c>
      <c r="Y148" s="33">
        <v>0</v>
      </c>
      <c r="Z148" s="33">
        <v>0</v>
      </c>
      <c r="AA148" s="33">
        <v>0</v>
      </c>
      <c r="AB148" s="33">
        <v>0</v>
      </c>
      <c r="AC148" s="33">
        <v>0</v>
      </c>
      <c r="AD148" s="33">
        <v>0</v>
      </c>
      <c r="AE148" s="33">
        <v>0</v>
      </c>
    </row>
    <row r="149" spans="1:31" ht="15.95" hidden="1" customHeight="1" outlineLevel="2" x14ac:dyDescent="0.2">
      <c r="B149" s="31" t="s">
        <v>187</v>
      </c>
      <c r="C149" s="31" t="s">
        <v>175</v>
      </c>
      <c r="D149" s="31" t="s">
        <v>318</v>
      </c>
      <c r="E149" s="32">
        <f t="shared" si="4"/>
        <v>871709.90112104255</v>
      </c>
      <c r="F149" s="33">
        <v>0</v>
      </c>
      <c r="G149" s="33">
        <v>0</v>
      </c>
      <c r="H149" s="33">
        <v>0</v>
      </c>
      <c r="I149" s="33">
        <v>0</v>
      </c>
      <c r="J149" s="33">
        <v>0</v>
      </c>
      <c r="K149" s="33">
        <v>72738.263630000001</v>
      </c>
      <c r="L149" s="33">
        <v>240700.75</v>
      </c>
      <c r="M149" s="33">
        <v>139956.62999999998</v>
      </c>
      <c r="N149" s="33">
        <v>0</v>
      </c>
      <c r="O149" s="33">
        <v>0</v>
      </c>
      <c r="P149" s="33">
        <v>48890.698891042528</v>
      </c>
      <c r="Q149" s="33">
        <v>5320.8300599999993</v>
      </c>
      <c r="R149" s="33">
        <v>0</v>
      </c>
      <c r="S149" s="33">
        <v>0</v>
      </c>
      <c r="T149" s="33">
        <v>0</v>
      </c>
      <c r="U149" s="33">
        <v>0</v>
      </c>
      <c r="V149" s="33">
        <v>0</v>
      </c>
      <c r="W149" s="33">
        <v>351669.37</v>
      </c>
      <c r="X149" s="33">
        <v>12433.358539999999</v>
      </c>
      <c r="Y149" s="33">
        <v>0</v>
      </c>
      <c r="Z149" s="33">
        <v>0</v>
      </c>
      <c r="AA149" s="33">
        <v>0</v>
      </c>
      <c r="AB149" s="33">
        <v>0</v>
      </c>
      <c r="AC149" s="33">
        <v>0</v>
      </c>
      <c r="AD149" s="33">
        <v>0</v>
      </c>
      <c r="AE149" s="33">
        <v>0</v>
      </c>
    </row>
    <row r="150" spans="1:31" ht="15.95" hidden="1" customHeight="1" outlineLevel="2" x14ac:dyDescent="0.2">
      <c r="B150" s="31" t="s">
        <v>187</v>
      </c>
      <c r="C150" s="31" t="s">
        <v>176</v>
      </c>
      <c r="D150" s="31" t="s">
        <v>319</v>
      </c>
      <c r="E150" s="32">
        <f t="shared" si="4"/>
        <v>745471.47653999995</v>
      </c>
      <c r="F150" s="33">
        <v>0</v>
      </c>
      <c r="G150" s="33">
        <v>0</v>
      </c>
      <c r="H150" s="33">
        <v>0</v>
      </c>
      <c r="I150" s="33">
        <v>0</v>
      </c>
      <c r="J150" s="33">
        <v>0</v>
      </c>
      <c r="K150" s="33">
        <v>0</v>
      </c>
      <c r="L150" s="33">
        <v>596863.18964499992</v>
      </c>
      <c r="M150" s="33">
        <v>0</v>
      </c>
      <c r="N150" s="33">
        <v>0</v>
      </c>
      <c r="O150" s="33">
        <v>0</v>
      </c>
      <c r="P150" s="33">
        <v>0</v>
      </c>
      <c r="Q150" s="33">
        <v>0</v>
      </c>
      <c r="R150" s="33">
        <v>0</v>
      </c>
      <c r="S150" s="33">
        <v>0</v>
      </c>
      <c r="T150" s="33">
        <v>0</v>
      </c>
      <c r="U150" s="33">
        <v>0</v>
      </c>
      <c r="V150" s="33">
        <v>0</v>
      </c>
      <c r="W150" s="33">
        <v>17811.776894999999</v>
      </c>
      <c r="X150" s="33">
        <v>0</v>
      </c>
      <c r="Y150" s="33">
        <v>130796.51</v>
      </c>
      <c r="Z150" s="33">
        <v>0</v>
      </c>
      <c r="AA150" s="33">
        <v>0</v>
      </c>
      <c r="AB150" s="33">
        <v>0</v>
      </c>
      <c r="AC150" s="33">
        <v>0</v>
      </c>
      <c r="AD150" s="33">
        <v>0</v>
      </c>
      <c r="AE150" s="33">
        <v>0</v>
      </c>
    </row>
    <row r="151" spans="1:31" ht="15.95" hidden="1" customHeight="1" outlineLevel="2" x14ac:dyDescent="0.2">
      <c r="B151" s="31" t="s">
        <v>187</v>
      </c>
      <c r="C151" s="31" t="s">
        <v>177</v>
      </c>
      <c r="D151" s="31" t="s">
        <v>320</v>
      </c>
      <c r="E151" s="32">
        <f t="shared" si="4"/>
        <v>1374247.9665672998</v>
      </c>
      <c r="F151" s="33">
        <v>0</v>
      </c>
      <c r="G151" s="33">
        <v>0</v>
      </c>
      <c r="H151" s="33">
        <v>0</v>
      </c>
      <c r="I151" s="33">
        <v>0</v>
      </c>
      <c r="J151" s="33">
        <v>0</v>
      </c>
      <c r="K151" s="33">
        <v>0</v>
      </c>
      <c r="L151" s="33">
        <v>0</v>
      </c>
      <c r="M151" s="33">
        <v>0</v>
      </c>
      <c r="N151" s="33">
        <v>1214837.2</v>
      </c>
      <c r="O151" s="33">
        <v>0</v>
      </c>
      <c r="P151" s="33">
        <v>0</v>
      </c>
      <c r="Q151" s="33">
        <v>0</v>
      </c>
      <c r="R151" s="33">
        <v>0</v>
      </c>
      <c r="S151" s="33">
        <v>0</v>
      </c>
      <c r="T151" s="33">
        <v>0</v>
      </c>
      <c r="U151" s="33">
        <v>0</v>
      </c>
      <c r="V151" s="33">
        <v>0</v>
      </c>
      <c r="W151" s="33">
        <v>0</v>
      </c>
      <c r="X151" s="33">
        <v>0</v>
      </c>
      <c r="Y151" s="33">
        <v>0</v>
      </c>
      <c r="Z151" s="33">
        <v>0</v>
      </c>
      <c r="AA151" s="33">
        <v>0</v>
      </c>
      <c r="AB151" s="33">
        <v>0</v>
      </c>
      <c r="AC151" s="33">
        <v>159410.76656729993</v>
      </c>
      <c r="AD151" s="33">
        <v>0</v>
      </c>
      <c r="AE151" s="33">
        <v>0</v>
      </c>
    </row>
    <row r="152" spans="1:31" ht="15.95" hidden="1" customHeight="1" outlineLevel="2" x14ac:dyDescent="0.2">
      <c r="B152" s="31" t="s">
        <v>187</v>
      </c>
      <c r="C152" s="31" t="s">
        <v>178</v>
      </c>
      <c r="D152" s="31" t="s">
        <v>321</v>
      </c>
      <c r="E152" s="32">
        <f t="shared" si="4"/>
        <v>249933.90000000002</v>
      </c>
      <c r="F152" s="33">
        <v>0</v>
      </c>
      <c r="G152" s="33">
        <v>0</v>
      </c>
      <c r="H152" s="33">
        <v>0</v>
      </c>
      <c r="I152" s="33">
        <v>0</v>
      </c>
      <c r="J152" s="33">
        <v>0</v>
      </c>
      <c r="K152" s="33">
        <v>0</v>
      </c>
      <c r="L152" s="33">
        <v>0</v>
      </c>
      <c r="M152" s="33">
        <v>0</v>
      </c>
      <c r="N152" s="33">
        <v>0</v>
      </c>
      <c r="O152" s="33">
        <v>0</v>
      </c>
      <c r="P152" s="33">
        <v>0</v>
      </c>
      <c r="Q152" s="33">
        <v>0</v>
      </c>
      <c r="R152" s="33">
        <v>0</v>
      </c>
      <c r="S152" s="33">
        <v>0</v>
      </c>
      <c r="T152" s="33">
        <v>0</v>
      </c>
      <c r="U152" s="33">
        <v>0</v>
      </c>
      <c r="V152" s="33">
        <v>0</v>
      </c>
      <c r="W152" s="33">
        <v>0</v>
      </c>
      <c r="X152" s="33">
        <v>0</v>
      </c>
      <c r="Y152" s="33">
        <v>0</v>
      </c>
      <c r="Z152" s="33">
        <v>101399.24</v>
      </c>
      <c r="AA152" s="33">
        <v>0</v>
      </c>
      <c r="AB152" s="33">
        <v>0</v>
      </c>
      <c r="AC152" s="33">
        <v>0</v>
      </c>
      <c r="AD152" s="33">
        <v>0</v>
      </c>
      <c r="AE152" s="33">
        <v>148534.66</v>
      </c>
    </row>
    <row r="153" spans="1:31" ht="15.95" hidden="1" customHeight="1" outlineLevel="2" x14ac:dyDescent="0.2">
      <c r="B153" s="31" t="s">
        <v>187</v>
      </c>
      <c r="C153" s="31" t="s">
        <v>179</v>
      </c>
      <c r="D153" s="31" t="s">
        <v>322</v>
      </c>
      <c r="E153" s="32">
        <f t="shared" si="4"/>
        <v>522558.80035206472</v>
      </c>
      <c r="F153" s="33">
        <v>0</v>
      </c>
      <c r="G153" s="33">
        <v>0</v>
      </c>
      <c r="H153" s="33">
        <v>0</v>
      </c>
      <c r="I153" s="33">
        <v>0</v>
      </c>
      <c r="J153" s="33">
        <v>0</v>
      </c>
      <c r="K153" s="33">
        <v>0</v>
      </c>
      <c r="L153" s="33">
        <v>0</v>
      </c>
      <c r="M153" s="33">
        <v>0</v>
      </c>
      <c r="N153" s="33">
        <v>0</v>
      </c>
      <c r="O153" s="33">
        <v>85082.180000000008</v>
      </c>
      <c r="P153" s="33">
        <v>326654.67170706473</v>
      </c>
      <c r="Q153" s="33">
        <v>55189.733834999992</v>
      </c>
      <c r="R153" s="33">
        <v>0</v>
      </c>
      <c r="S153" s="33">
        <v>0</v>
      </c>
      <c r="T153" s="33">
        <v>0</v>
      </c>
      <c r="U153" s="33">
        <v>0</v>
      </c>
      <c r="V153" s="33">
        <v>39669.752429999993</v>
      </c>
      <c r="W153" s="33">
        <v>0</v>
      </c>
      <c r="X153" s="33">
        <v>14015.842379999998</v>
      </c>
      <c r="Y153" s="33">
        <v>0</v>
      </c>
      <c r="Z153" s="33">
        <v>0</v>
      </c>
      <c r="AA153" s="33">
        <v>0</v>
      </c>
      <c r="AB153" s="33">
        <v>0</v>
      </c>
      <c r="AC153" s="33">
        <v>0</v>
      </c>
      <c r="AD153" s="33">
        <v>1946.62</v>
      </c>
      <c r="AE153" s="33">
        <v>0</v>
      </c>
    </row>
    <row r="154" spans="1:31" ht="15.95" hidden="1" customHeight="1" outlineLevel="2" x14ac:dyDescent="0.2">
      <c r="B154" s="31" t="s">
        <v>187</v>
      </c>
      <c r="C154" s="31" t="s">
        <v>180</v>
      </c>
      <c r="D154" s="31" t="s">
        <v>323</v>
      </c>
      <c r="E154" s="32">
        <f t="shared" si="4"/>
        <v>323628.52101500001</v>
      </c>
      <c r="F154" s="33">
        <v>0</v>
      </c>
      <c r="G154" s="33">
        <v>0</v>
      </c>
      <c r="H154" s="33">
        <v>0</v>
      </c>
      <c r="I154" s="33">
        <v>0</v>
      </c>
      <c r="J154" s="33">
        <v>0</v>
      </c>
      <c r="K154" s="33">
        <v>41122.590000000004</v>
      </c>
      <c r="L154" s="33">
        <v>22515.320519999997</v>
      </c>
      <c r="M154" s="33">
        <v>0</v>
      </c>
      <c r="N154" s="33">
        <v>0</v>
      </c>
      <c r="O154" s="33">
        <v>0</v>
      </c>
      <c r="P154" s="33">
        <v>0</v>
      </c>
      <c r="Q154" s="33">
        <v>0</v>
      </c>
      <c r="R154" s="33">
        <v>0</v>
      </c>
      <c r="S154" s="33">
        <v>0</v>
      </c>
      <c r="T154" s="33">
        <v>0</v>
      </c>
      <c r="U154" s="33">
        <v>0</v>
      </c>
      <c r="V154" s="33">
        <v>0</v>
      </c>
      <c r="W154" s="33">
        <v>246659.52049499998</v>
      </c>
      <c r="X154" s="33">
        <v>13331.09</v>
      </c>
      <c r="Y154" s="33">
        <v>0</v>
      </c>
      <c r="Z154" s="33">
        <v>0</v>
      </c>
      <c r="AA154" s="33">
        <v>0</v>
      </c>
      <c r="AB154" s="33">
        <v>0</v>
      </c>
      <c r="AC154" s="33">
        <v>0</v>
      </c>
      <c r="AD154" s="33">
        <v>0</v>
      </c>
      <c r="AE154" s="33">
        <v>0</v>
      </c>
    </row>
    <row r="155" spans="1:31" ht="15.95" hidden="1" customHeight="1" outlineLevel="2" x14ac:dyDescent="0.2">
      <c r="B155" s="31" t="s">
        <v>187</v>
      </c>
      <c r="C155" s="31" t="s">
        <v>181</v>
      </c>
      <c r="D155" s="31" t="s">
        <v>324</v>
      </c>
      <c r="E155" s="32">
        <f t="shared" si="4"/>
        <v>10718.28</v>
      </c>
      <c r="F155" s="33">
        <v>0</v>
      </c>
      <c r="G155" s="33">
        <v>0</v>
      </c>
      <c r="H155" s="33">
        <v>0</v>
      </c>
      <c r="I155" s="33">
        <v>0</v>
      </c>
      <c r="J155" s="33">
        <v>0</v>
      </c>
      <c r="K155" s="33">
        <v>0</v>
      </c>
      <c r="L155" s="33">
        <v>0</v>
      </c>
      <c r="M155" s="33">
        <v>0</v>
      </c>
      <c r="N155" s="33">
        <v>0</v>
      </c>
      <c r="O155" s="33">
        <v>0</v>
      </c>
      <c r="P155" s="33">
        <v>0</v>
      </c>
      <c r="Q155" s="33">
        <v>0</v>
      </c>
      <c r="R155" s="33">
        <v>0</v>
      </c>
      <c r="S155" s="33">
        <v>0</v>
      </c>
      <c r="T155" s="33">
        <v>0</v>
      </c>
      <c r="U155" s="33">
        <v>0</v>
      </c>
      <c r="V155" s="33">
        <v>0</v>
      </c>
      <c r="W155" s="33">
        <v>0</v>
      </c>
      <c r="X155" s="33">
        <v>0</v>
      </c>
      <c r="Y155" s="33">
        <v>10718.28</v>
      </c>
      <c r="Z155" s="33">
        <v>0</v>
      </c>
      <c r="AA155" s="33">
        <v>0</v>
      </c>
      <c r="AB155" s="33">
        <v>0</v>
      </c>
      <c r="AC155" s="33">
        <v>0</v>
      </c>
      <c r="AD155" s="33">
        <v>0</v>
      </c>
      <c r="AE155" s="33">
        <v>0</v>
      </c>
    </row>
    <row r="156" spans="1:31" ht="15.95" hidden="1" customHeight="1" outlineLevel="2" x14ac:dyDescent="0.2">
      <c r="B156" s="31" t="s">
        <v>187</v>
      </c>
      <c r="C156" s="31" t="s">
        <v>182</v>
      </c>
      <c r="D156" s="31" t="s">
        <v>325</v>
      </c>
      <c r="E156" s="32">
        <f t="shared" si="4"/>
        <v>1173963.1610229379</v>
      </c>
      <c r="F156" s="33">
        <v>0</v>
      </c>
      <c r="G156" s="33">
        <v>0</v>
      </c>
      <c r="H156" s="33">
        <v>0</v>
      </c>
      <c r="I156" s="33">
        <v>0</v>
      </c>
      <c r="J156" s="33">
        <v>0</v>
      </c>
      <c r="K156" s="33">
        <v>8.4</v>
      </c>
      <c r="L156" s="33">
        <v>0</v>
      </c>
      <c r="M156" s="33">
        <v>0</v>
      </c>
      <c r="N156" s="33">
        <v>0</v>
      </c>
      <c r="O156" s="33">
        <v>44683.92</v>
      </c>
      <c r="P156" s="33">
        <v>766637.94987293787</v>
      </c>
      <c r="Q156" s="33">
        <v>0</v>
      </c>
      <c r="R156" s="33">
        <v>0</v>
      </c>
      <c r="S156" s="33">
        <v>0</v>
      </c>
      <c r="T156" s="33">
        <v>0</v>
      </c>
      <c r="U156" s="33">
        <v>0</v>
      </c>
      <c r="V156" s="33">
        <v>0</v>
      </c>
      <c r="W156" s="33">
        <v>0</v>
      </c>
      <c r="X156" s="33">
        <v>362632.89114999998</v>
      </c>
      <c r="Y156" s="33">
        <v>0</v>
      </c>
      <c r="Z156" s="33">
        <v>0</v>
      </c>
      <c r="AA156" s="33">
        <v>0</v>
      </c>
      <c r="AB156" s="33">
        <v>0</v>
      </c>
      <c r="AC156" s="33">
        <v>0</v>
      </c>
      <c r="AD156" s="33">
        <v>0</v>
      </c>
      <c r="AE156" s="33">
        <v>0</v>
      </c>
    </row>
    <row r="157" spans="1:31" ht="15.95" hidden="1" customHeight="1" outlineLevel="2" x14ac:dyDescent="0.2">
      <c r="B157" s="31" t="s">
        <v>187</v>
      </c>
      <c r="C157" s="31" t="s">
        <v>183</v>
      </c>
      <c r="D157" s="31" t="s">
        <v>326</v>
      </c>
      <c r="E157" s="32">
        <f t="shared" si="4"/>
        <v>1527.25</v>
      </c>
      <c r="F157" s="33">
        <v>0</v>
      </c>
      <c r="G157" s="33">
        <v>0</v>
      </c>
      <c r="H157" s="33">
        <v>0</v>
      </c>
      <c r="I157" s="33">
        <v>0</v>
      </c>
      <c r="J157" s="33">
        <v>0</v>
      </c>
      <c r="K157" s="33">
        <v>0</v>
      </c>
      <c r="L157" s="33">
        <v>0</v>
      </c>
      <c r="M157" s="33">
        <v>0</v>
      </c>
      <c r="N157" s="33">
        <v>1527.25</v>
      </c>
      <c r="O157" s="33">
        <v>0</v>
      </c>
      <c r="P157" s="33">
        <v>0</v>
      </c>
      <c r="Q157" s="33">
        <v>0</v>
      </c>
      <c r="R157" s="33">
        <v>0</v>
      </c>
      <c r="S157" s="33">
        <v>0</v>
      </c>
      <c r="T157" s="33">
        <v>0</v>
      </c>
      <c r="U157" s="33">
        <v>0</v>
      </c>
      <c r="V157" s="33">
        <v>0</v>
      </c>
      <c r="W157" s="33">
        <v>0</v>
      </c>
      <c r="X157" s="33">
        <v>0</v>
      </c>
      <c r="Y157" s="33">
        <v>0</v>
      </c>
      <c r="Z157" s="33">
        <v>0</v>
      </c>
      <c r="AA157" s="33">
        <v>0</v>
      </c>
      <c r="AB157" s="33">
        <v>0</v>
      </c>
      <c r="AC157" s="33">
        <v>0</v>
      </c>
      <c r="AD157" s="33">
        <v>0</v>
      </c>
      <c r="AE157" s="33">
        <v>0</v>
      </c>
    </row>
    <row r="158" spans="1:31" ht="15.95" hidden="1" customHeight="1" outlineLevel="2" x14ac:dyDescent="0.2">
      <c r="B158" s="31" t="s">
        <v>187</v>
      </c>
      <c r="C158" s="31" t="s">
        <v>184</v>
      </c>
      <c r="D158" s="31" t="s">
        <v>327</v>
      </c>
      <c r="E158" s="32">
        <f t="shared" si="4"/>
        <v>262221.13000000006</v>
      </c>
      <c r="F158" s="33">
        <v>0</v>
      </c>
      <c r="G158" s="33">
        <v>0</v>
      </c>
      <c r="H158" s="33">
        <v>0</v>
      </c>
      <c r="I158" s="33">
        <v>0</v>
      </c>
      <c r="J158" s="33">
        <v>0</v>
      </c>
      <c r="K158" s="33">
        <v>0</v>
      </c>
      <c r="L158" s="33">
        <v>0</v>
      </c>
      <c r="M158" s="33">
        <v>0</v>
      </c>
      <c r="N158" s="33">
        <v>0</v>
      </c>
      <c r="O158" s="33">
        <v>0</v>
      </c>
      <c r="P158" s="33">
        <v>0</v>
      </c>
      <c r="Q158" s="33">
        <v>0</v>
      </c>
      <c r="R158" s="33">
        <v>544.21</v>
      </c>
      <c r="S158" s="33">
        <v>0</v>
      </c>
      <c r="T158" s="33">
        <v>0</v>
      </c>
      <c r="U158" s="33">
        <v>0</v>
      </c>
      <c r="V158" s="33">
        <v>0</v>
      </c>
      <c r="W158" s="33">
        <v>0</v>
      </c>
      <c r="X158" s="33">
        <v>0</v>
      </c>
      <c r="Y158" s="33">
        <v>0</v>
      </c>
      <c r="Z158" s="33">
        <v>0</v>
      </c>
      <c r="AA158" s="33">
        <v>261676.92000000004</v>
      </c>
      <c r="AB158" s="33">
        <v>0</v>
      </c>
      <c r="AC158" s="33">
        <v>0</v>
      </c>
      <c r="AD158" s="33">
        <v>0</v>
      </c>
      <c r="AE158" s="33">
        <v>0</v>
      </c>
    </row>
    <row r="159" spans="1:31" ht="15.95" hidden="1" customHeight="1" outlineLevel="2" x14ac:dyDescent="0.2">
      <c r="B159" s="31" t="s">
        <v>187</v>
      </c>
      <c r="C159" s="31" t="s">
        <v>185</v>
      </c>
      <c r="D159" s="31" t="s">
        <v>328</v>
      </c>
      <c r="E159" s="32">
        <f t="shared" si="4"/>
        <v>95869.13</v>
      </c>
      <c r="F159" s="33">
        <v>0</v>
      </c>
      <c r="G159" s="33">
        <v>0</v>
      </c>
      <c r="H159" s="33">
        <v>0</v>
      </c>
      <c r="I159" s="33">
        <v>0</v>
      </c>
      <c r="J159" s="33">
        <v>0</v>
      </c>
      <c r="K159" s="33">
        <v>0</v>
      </c>
      <c r="L159" s="33">
        <v>0</v>
      </c>
      <c r="M159" s="33">
        <v>0</v>
      </c>
      <c r="N159" s="33">
        <v>0</v>
      </c>
      <c r="O159" s="33">
        <v>0</v>
      </c>
      <c r="P159" s="33">
        <v>0</v>
      </c>
      <c r="Q159" s="33">
        <v>0</v>
      </c>
      <c r="R159" s="33">
        <v>0</v>
      </c>
      <c r="S159" s="33">
        <v>0</v>
      </c>
      <c r="T159" s="33">
        <v>0</v>
      </c>
      <c r="U159" s="33">
        <v>0</v>
      </c>
      <c r="V159" s="33">
        <v>0</v>
      </c>
      <c r="W159" s="33">
        <v>0</v>
      </c>
      <c r="X159" s="33">
        <v>0</v>
      </c>
      <c r="Y159" s="33">
        <v>0</v>
      </c>
      <c r="Z159" s="33">
        <v>0</v>
      </c>
      <c r="AA159" s="33">
        <v>0</v>
      </c>
      <c r="AB159" s="33">
        <v>0</v>
      </c>
      <c r="AC159" s="33">
        <v>0</v>
      </c>
      <c r="AD159" s="33">
        <v>95869.13</v>
      </c>
      <c r="AE159" s="33">
        <v>0</v>
      </c>
    </row>
    <row r="160" spans="1:31" ht="15.95" customHeight="1" outlineLevel="1" collapsed="1" x14ac:dyDescent="0.2">
      <c r="A160" s="6">
        <v>19</v>
      </c>
      <c r="B160" s="34"/>
      <c r="C160" s="31"/>
      <c r="D160" s="14" t="s">
        <v>188</v>
      </c>
      <c r="E160" s="22">
        <f t="shared" ref="E160:AE160" si="8">SUBTOTAL(9,E134:E159)</f>
        <v>14324926.344927121</v>
      </c>
      <c r="F160" s="22">
        <f t="shared" si="8"/>
        <v>146449.33000000002</v>
      </c>
      <c r="G160" s="22">
        <f t="shared" si="8"/>
        <v>60936.67</v>
      </c>
      <c r="H160" s="22">
        <f t="shared" si="8"/>
        <v>31282.710000000003</v>
      </c>
      <c r="I160" s="22">
        <f t="shared" si="8"/>
        <v>649790.22</v>
      </c>
      <c r="J160" s="22">
        <f t="shared" si="8"/>
        <v>618793.64999999991</v>
      </c>
      <c r="K160" s="22">
        <f t="shared" si="8"/>
        <v>113869.25362999999</v>
      </c>
      <c r="L160" s="22">
        <f t="shared" si="8"/>
        <v>1216726.3127899999</v>
      </c>
      <c r="M160" s="22">
        <f t="shared" si="8"/>
        <v>139956.62999999998</v>
      </c>
      <c r="N160" s="22">
        <f t="shared" si="8"/>
        <v>1216364.45</v>
      </c>
      <c r="O160" s="22">
        <f t="shared" si="8"/>
        <v>129766.1</v>
      </c>
      <c r="P160" s="22">
        <f t="shared" si="8"/>
        <v>1142183.3204710451</v>
      </c>
      <c r="Q160" s="22">
        <f t="shared" si="8"/>
        <v>60510.563894999992</v>
      </c>
      <c r="R160" s="22">
        <f t="shared" si="8"/>
        <v>311103.351425</v>
      </c>
      <c r="S160" s="22">
        <f t="shared" si="8"/>
        <v>0</v>
      </c>
      <c r="T160" s="22">
        <f t="shared" si="8"/>
        <v>1384487.9918049998</v>
      </c>
      <c r="U160" s="22">
        <f t="shared" si="8"/>
        <v>2963809.5300000003</v>
      </c>
      <c r="V160" s="22">
        <f t="shared" si="8"/>
        <v>39669.752429999993</v>
      </c>
      <c r="W160" s="22">
        <f t="shared" si="8"/>
        <v>616140.66738999996</v>
      </c>
      <c r="X160" s="22">
        <f t="shared" si="8"/>
        <v>402413.18206999998</v>
      </c>
      <c r="Y160" s="22">
        <f t="shared" si="8"/>
        <v>252143.81999999998</v>
      </c>
      <c r="Z160" s="22">
        <f t="shared" si="8"/>
        <v>101399.24</v>
      </c>
      <c r="AA160" s="22">
        <f t="shared" si="8"/>
        <v>289842.99000000005</v>
      </c>
      <c r="AB160" s="22">
        <f t="shared" si="8"/>
        <v>823111.79</v>
      </c>
      <c r="AC160" s="22">
        <f t="shared" si="8"/>
        <v>1367824.4090210744</v>
      </c>
      <c r="AD160" s="22">
        <f t="shared" si="8"/>
        <v>97815.75</v>
      </c>
      <c r="AE160" s="22">
        <f t="shared" si="8"/>
        <v>148534.66</v>
      </c>
    </row>
    <row r="161" spans="1:31" ht="15.95" hidden="1" customHeight="1" outlineLevel="2" x14ac:dyDescent="0.2">
      <c r="B161" s="31" t="s">
        <v>189</v>
      </c>
      <c r="C161" s="31" t="s">
        <v>190</v>
      </c>
      <c r="D161" s="31" t="s">
        <v>329</v>
      </c>
      <c r="E161" s="32">
        <f t="shared" si="4"/>
        <v>7760.83</v>
      </c>
      <c r="F161" s="33">
        <v>0</v>
      </c>
      <c r="G161" s="33">
        <v>0</v>
      </c>
      <c r="H161" s="33">
        <v>7760.83</v>
      </c>
      <c r="I161" s="33">
        <v>0</v>
      </c>
      <c r="J161" s="33">
        <v>0</v>
      </c>
      <c r="K161" s="33">
        <v>0</v>
      </c>
      <c r="L161" s="33">
        <v>0</v>
      </c>
      <c r="M161" s="33">
        <v>0</v>
      </c>
      <c r="N161" s="33">
        <v>0</v>
      </c>
      <c r="O161" s="33">
        <v>0</v>
      </c>
      <c r="P161" s="33">
        <v>0</v>
      </c>
      <c r="Q161" s="33">
        <v>0</v>
      </c>
      <c r="R161" s="33">
        <v>0</v>
      </c>
      <c r="S161" s="33">
        <v>0</v>
      </c>
      <c r="T161" s="33">
        <v>0</v>
      </c>
      <c r="U161" s="33">
        <v>0</v>
      </c>
      <c r="V161" s="33">
        <v>0</v>
      </c>
      <c r="W161" s="33">
        <v>0</v>
      </c>
      <c r="X161" s="33">
        <v>0</v>
      </c>
      <c r="Y161" s="33">
        <v>0</v>
      </c>
      <c r="Z161" s="33">
        <v>0</v>
      </c>
      <c r="AA161" s="33">
        <v>0</v>
      </c>
      <c r="AB161" s="33">
        <v>0</v>
      </c>
      <c r="AC161" s="33">
        <v>0</v>
      </c>
      <c r="AD161" s="33">
        <v>0</v>
      </c>
      <c r="AE161" s="33">
        <v>0</v>
      </c>
    </row>
    <row r="162" spans="1:31" ht="15.95" hidden="1" customHeight="1" outlineLevel="2" x14ac:dyDescent="0.2">
      <c r="B162" s="31" t="s">
        <v>189</v>
      </c>
      <c r="C162" s="31" t="s">
        <v>191</v>
      </c>
      <c r="D162" s="31" t="s">
        <v>330</v>
      </c>
      <c r="E162" s="32">
        <f t="shared" si="4"/>
        <v>203225.05687499998</v>
      </c>
      <c r="F162" s="33">
        <v>0</v>
      </c>
      <c r="G162" s="33">
        <v>0</v>
      </c>
      <c r="H162" s="33">
        <v>0</v>
      </c>
      <c r="I162" s="33">
        <v>0</v>
      </c>
      <c r="J162" s="33">
        <v>0</v>
      </c>
      <c r="K162" s="33">
        <v>0</v>
      </c>
      <c r="L162" s="33">
        <v>57899.927875000001</v>
      </c>
      <c r="M162" s="33">
        <v>0</v>
      </c>
      <c r="N162" s="33">
        <v>0</v>
      </c>
      <c r="O162" s="33">
        <v>0</v>
      </c>
      <c r="P162" s="33">
        <v>0</v>
      </c>
      <c r="Q162" s="33">
        <v>0</v>
      </c>
      <c r="R162" s="33">
        <v>6011.2554999999993</v>
      </c>
      <c r="S162" s="33">
        <v>0</v>
      </c>
      <c r="T162" s="33">
        <v>10411.631625000002</v>
      </c>
      <c r="U162" s="33">
        <v>89889.406124999994</v>
      </c>
      <c r="V162" s="33">
        <v>0</v>
      </c>
      <c r="W162" s="33">
        <v>2323.4467500000001</v>
      </c>
      <c r="X162" s="33">
        <v>0</v>
      </c>
      <c r="Y162" s="33">
        <v>28810.239999999998</v>
      </c>
      <c r="Z162" s="33">
        <v>0</v>
      </c>
      <c r="AA162" s="33">
        <v>7879.1490000000003</v>
      </c>
      <c r="AB162" s="33">
        <v>0</v>
      </c>
      <c r="AC162" s="33">
        <v>0</v>
      </c>
      <c r="AD162" s="33">
        <v>0</v>
      </c>
      <c r="AE162" s="33">
        <v>0</v>
      </c>
    </row>
    <row r="163" spans="1:31" ht="15.95" hidden="1" customHeight="1" outlineLevel="2" x14ac:dyDescent="0.2">
      <c r="B163" s="31" t="s">
        <v>189</v>
      </c>
      <c r="C163" s="31" t="s">
        <v>192</v>
      </c>
      <c r="D163" s="31" t="s">
        <v>331</v>
      </c>
      <c r="E163" s="32">
        <f t="shared" si="4"/>
        <v>0</v>
      </c>
      <c r="F163" s="33">
        <v>0</v>
      </c>
      <c r="G163" s="33">
        <v>0</v>
      </c>
      <c r="H163" s="33">
        <v>0</v>
      </c>
      <c r="I163" s="33">
        <v>0</v>
      </c>
      <c r="J163" s="33">
        <v>0</v>
      </c>
      <c r="K163" s="33">
        <v>0</v>
      </c>
      <c r="L163" s="33">
        <v>0</v>
      </c>
      <c r="M163" s="33">
        <v>0</v>
      </c>
      <c r="N163" s="33">
        <v>0</v>
      </c>
      <c r="O163" s="33">
        <v>0</v>
      </c>
      <c r="P163" s="33">
        <v>0</v>
      </c>
      <c r="Q163" s="33">
        <v>0</v>
      </c>
      <c r="R163" s="33">
        <v>0</v>
      </c>
      <c r="S163" s="33">
        <v>0</v>
      </c>
      <c r="T163" s="33">
        <v>0</v>
      </c>
      <c r="U163" s="33">
        <v>0</v>
      </c>
      <c r="V163" s="33">
        <v>0</v>
      </c>
      <c r="W163" s="33">
        <v>0</v>
      </c>
      <c r="X163" s="33">
        <v>0</v>
      </c>
      <c r="Y163" s="33">
        <v>0</v>
      </c>
      <c r="Z163" s="33">
        <v>0</v>
      </c>
      <c r="AA163" s="33">
        <v>0</v>
      </c>
      <c r="AB163" s="33">
        <v>0</v>
      </c>
      <c r="AC163" s="33">
        <v>0</v>
      </c>
      <c r="AD163" s="33">
        <v>0</v>
      </c>
      <c r="AE163" s="33">
        <v>0</v>
      </c>
    </row>
    <row r="164" spans="1:31" ht="15.95" hidden="1" customHeight="1" outlineLevel="2" x14ac:dyDescent="0.2">
      <c r="B164" s="31" t="s">
        <v>189</v>
      </c>
      <c r="C164" s="31" t="s">
        <v>193</v>
      </c>
      <c r="D164" s="31" t="s">
        <v>332</v>
      </c>
      <c r="E164" s="32">
        <f t="shared" si="4"/>
        <v>88127.906750000009</v>
      </c>
      <c r="F164" s="33">
        <v>0</v>
      </c>
      <c r="G164" s="33">
        <v>0</v>
      </c>
      <c r="H164" s="33">
        <v>0</v>
      </c>
      <c r="I164" s="33">
        <v>5891.3870000000006</v>
      </c>
      <c r="J164" s="33">
        <v>0</v>
      </c>
      <c r="K164" s="33">
        <v>3259.66725</v>
      </c>
      <c r="L164" s="33">
        <v>3011.97975</v>
      </c>
      <c r="M164" s="33">
        <v>4765.9813749999994</v>
      </c>
      <c r="N164" s="33">
        <v>0</v>
      </c>
      <c r="O164" s="33">
        <v>9394.41</v>
      </c>
      <c r="P164" s="33">
        <v>0</v>
      </c>
      <c r="Q164" s="33">
        <v>4595.2283750000006</v>
      </c>
      <c r="R164" s="33">
        <v>0</v>
      </c>
      <c r="S164" s="33">
        <v>0</v>
      </c>
      <c r="T164" s="33">
        <v>0</v>
      </c>
      <c r="U164" s="33">
        <v>0</v>
      </c>
      <c r="V164" s="33">
        <v>5653.7159999999994</v>
      </c>
      <c r="W164" s="33">
        <v>30494.653250000003</v>
      </c>
      <c r="X164" s="33">
        <v>19122.493750000001</v>
      </c>
      <c r="Y164" s="33">
        <v>1938.39</v>
      </c>
      <c r="Z164" s="33">
        <v>0</v>
      </c>
      <c r="AA164" s="33">
        <v>0</v>
      </c>
      <c r="AB164" s="33">
        <v>0</v>
      </c>
      <c r="AC164" s="33">
        <v>0</v>
      </c>
      <c r="AD164" s="33">
        <v>0</v>
      </c>
      <c r="AE164" s="33">
        <v>0</v>
      </c>
    </row>
    <row r="165" spans="1:31" ht="15.95" hidden="1" customHeight="1" outlineLevel="2" x14ac:dyDescent="0.2">
      <c r="B165" s="31" t="s">
        <v>189</v>
      </c>
      <c r="C165" s="31" t="s">
        <v>194</v>
      </c>
      <c r="D165" s="31" t="s">
        <v>333</v>
      </c>
      <c r="E165" s="32">
        <f t="shared" si="4"/>
        <v>24617.857868411949</v>
      </c>
      <c r="F165" s="33">
        <v>1491.41</v>
      </c>
      <c r="G165" s="33">
        <v>10907.84</v>
      </c>
      <c r="H165" s="33">
        <v>0</v>
      </c>
      <c r="I165" s="33">
        <v>0</v>
      </c>
      <c r="J165" s="33">
        <v>0</v>
      </c>
      <c r="K165" s="33">
        <v>0</v>
      </c>
      <c r="L165" s="33">
        <v>0</v>
      </c>
      <c r="M165" s="33">
        <v>0</v>
      </c>
      <c r="N165" s="33">
        <v>9162.5499999999993</v>
      </c>
      <c r="O165" s="33">
        <v>0</v>
      </c>
      <c r="P165" s="33">
        <v>0</v>
      </c>
      <c r="Q165" s="33">
        <v>0</v>
      </c>
      <c r="R165" s="33">
        <v>0</v>
      </c>
      <c r="S165" s="33">
        <v>0</v>
      </c>
      <c r="T165" s="33">
        <v>0</v>
      </c>
      <c r="U165" s="33">
        <v>0</v>
      </c>
      <c r="V165" s="33">
        <v>0</v>
      </c>
      <c r="W165" s="33">
        <v>0</v>
      </c>
      <c r="X165" s="33">
        <v>0</v>
      </c>
      <c r="Y165" s="33">
        <v>0</v>
      </c>
      <c r="Z165" s="33">
        <v>0</v>
      </c>
      <c r="AA165" s="33">
        <v>0</v>
      </c>
      <c r="AB165" s="33">
        <v>918.66</v>
      </c>
      <c r="AC165" s="33">
        <v>2137.3978684119502</v>
      </c>
      <c r="AD165" s="33">
        <v>0</v>
      </c>
      <c r="AE165" s="33">
        <v>0</v>
      </c>
    </row>
    <row r="166" spans="1:31" ht="15.95" customHeight="1" outlineLevel="1" collapsed="1" x14ac:dyDescent="0.2">
      <c r="A166" s="6">
        <v>20</v>
      </c>
      <c r="B166" s="34"/>
      <c r="C166" s="31"/>
      <c r="D166" s="14" t="s">
        <v>195</v>
      </c>
      <c r="E166" s="22">
        <f t="shared" ref="E166:AE166" si="9">SUBTOTAL(9,E161:E165)</f>
        <v>323731.65149341192</v>
      </c>
      <c r="F166" s="22">
        <f t="shared" si="9"/>
        <v>1491.41</v>
      </c>
      <c r="G166" s="22">
        <f t="shared" si="9"/>
        <v>10907.84</v>
      </c>
      <c r="H166" s="22">
        <f t="shared" si="9"/>
        <v>7760.83</v>
      </c>
      <c r="I166" s="22">
        <f t="shared" si="9"/>
        <v>5891.3870000000006</v>
      </c>
      <c r="J166" s="22">
        <f t="shared" si="9"/>
        <v>0</v>
      </c>
      <c r="K166" s="22">
        <f t="shared" si="9"/>
        <v>3259.66725</v>
      </c>
      <c r="L166" s="22">
        <f t="shared" si="9"/>
        <v>60911.907625</v>
      </c>
      <c r="M166" s="22">
        <f t="shared" si="9"/>
        <v>4765.9813749999994</v>
      </c>
      <c r="N166" s="22">
        <f t="shared" si="9"/>
        <v>9162.5499999999993</v>
      </c>
      <c r="O166" s="22">
        <f t="shared" si="9"/>
        <v>9394.41</v>
      </c>
      <c r="P166" s="22">
        <f t="shared" si="9"/>
        <v>0</v>
      </c>
      <c r="Q166" s="22">
        <f t="shared" si="9"/>
        <v>4595.2283750000006</v>
      </c>
      <c r="R166" s="22">
        <f t="shared" si="9"/>
        <v>6011.2554999999993</v>
      </c>
      <c r="S166" s="22">
        <f t="shared" si="9"/>
        <v>0</v>
      </c>
      <c r="T166" s="22">
        <f t="shared" si="9"/>
        <v>10411.631625000002</v>
      </c>
      <c r="U166" s="22">
        <f t="shared" si="9"/>
        <v>89889.406124999994</v>
      </c>
      <c r="V166" s="22">
        <f t="shared" si="9"/>
        <v>5653.7159999999994</v>
      </c>
      <c r="W166" s="22">
        <f t="shared" si="9"/>
        <v>32818.100000000006</v>
      </c>
      <c r="X166" s="22">
        <f t="shared" si="9"/>
        <v>19122.493750000001</v>
      </c>
      <c r="Y166" s="22">
        <f t="shared" si="9"/>
        <v>30748.629999999997</v>
      </c>
      <c r="Z166" s="22">
        <f t="shared" si="9"/>
        <v>0</v>
      </c>
      <c r="AA166" s="22">
        <f t="shared" si="9"/>
        <v>7879.1490000000003</v>
      </c>
      <c r="AB166" s="22">
        <f t="shared" si="9"/>
        <v>918.66</v>
      </c>
      <c r="AC166" s="22">
        <f t="shared" si="9"/>
        <v>2137.3978684119502</v>
      </c>
      <c r="AD166" s="22">
        <f t="shared" si="9"/>
        <v>0</v>
      </c>
      <c r="AE166" s="22">
        <f t="shared" si="9"/>
        <v>0</v>
      </c>
    </row>
    <row r="167" spans="1:31" ht="15.95" hidden="1" customHeight="1" outlineLevel="2" x14ac:dyDescent="0.2">
      <c r="B167" s="31" t="s">
        <v>196</v>
      </c>
      <c r="C167" s="31" t="s">
        <v>190</v>
      </c>
      <c r="D167" s="31" t="s">
        <v>329</v>
      </c>
      <c r="E167" s="32">
        <f t="shared" si="4"/>
        <v>8577.77</v>
      </c>
      <c r="F167" s="33">
        <v>0</v>
      </c>
      <c r="G167" s="33">
        <v>0</v>
      </c>
      <c r="H167" s="33">
        <v>8577.77</v>
      </c>
      <c r="I167" s="33">
        <v>0</v>
      </c>
      <c r="J167" s="33">
        <v>0</v>
      </c>
      <c r="K167" s="33">
        <v>0</v>
      </c>
      <c r="L167" s="33">
        <v>0</v>
      </c>
      <c r="M167" s="33">
        <v>0</v>
      </c>
      <c r="N167" s="33">
        <v>0</v>
      </c>
      <c r="O167" s="33">
        <v>0</v>
      </c>
      <c r="P167" s="33">
        <v>0</v>
      </c>
      <c r="Q167" s="33">
        <v>0</v>
      </c>
      <c r="R167" s="33">
        <v>0</v>
      </c>
      <c r="S167" s="33">
        <v>0</v>
      </c>
      <c r="T167" s="33">
        <v>0</v>
      </c>
      <c r="U167" s="33">
        <v>0</v>
      </c>
      <c r="V167" s="33">
        <v>0</v>
      </c>
      <c r="W167" s="33">
        <v>0</v>
      </c>
      <c r="X167" s="33">
        <v>0</v>
      </c>
      <c r="Y167" s="33">
        <v>0</v>
      </c>
      <c r="Z167" s="33">
        <v>0</v>
      </c>
      <c r="AA167" s="33">
        <v>0</v>
      </c>
      <c r="AB167" s="33">
        <v>0</v>
      </c>
      <c r="AC167" s="33">
        <v>0</v>
      </c>
      <c r="AD167" s="33">
        <v>0</v>
      </c>
      <c r="AE167" s="33">
        <v>0</v>
      </c>
    </row>
    <row r="168" spans="1:31" ht="15.95" hidden="1" customHeight="1" outlineLevel="2" x14ac:dyDescent="0.2">
      <c r="B168" s="31" t="s">
        <v>196</v>
      </c>
      <c r="C168" s="31" t="s">
        <v>191</v>
      </c>
      <c r="D168" s="31" t="s">
        <v>330</v>
      </c>
      <c r="E168" s="32">
        <f t="shared" si="4"/>
        <v>658957.66312499996</v>
      </c>
      <c r="F168" s="33">
        <v>0</v>
      </c>
      <c r="G168" s="33">
        <v>0</v>
      </c>
      <c r="H168" s="33">
        <v>0</v>
      </c>
      <c r="I168" s="33">
        <v>0</v>
      </c>
      <c r="J168" s="33">
        <v>129488.81999999999</v>
      </c>
      <c r="K168" s="33">
        <v>0</v>
      </c>
      <c r="L168" s="33">
        <v>322204.46712499991</v>
      </c>
      <c r="M168" s="33">
        <v>0</v>
      </c>
      <c r="N168" s="33">
        <v>0</v>
      </c>
      <c r="O168" s="33">
        <v>0</v>
      </c>
      <c r="P168" s="33">
        <v>0</v>
      </c>
      <c r="Q168" s="33">
        <v>0</v>
      </c>
      <c r="R168" s="33">
        <v>37632.01449999999</v>
      </c>
      <c r="S168" s="33">
        <v>0</v>
      </c>
      <c r="T168" s="33">
        <v>11507.603374999999</v>
      </c>
      <c r="U168" s="33">
        <v>99351.448875000016</v>
      </c>
      <c r="V168" s="33">
        <v>0</v>
      </c>
      <c r="W168" s="33">
        <v>2568.0232499999997</v>
      </c>
      <c r="X168" s="33">
        <v>0</v>
      </c>
      <c r="Y168" s="33">
        <v>31842.91</v>
      </c>
      <c r="Z168" s="33">
        <v>0</v>
      </c>
      <c r="AA168" s="33">
        <v>24362.376000000004</v>
      </c>
      <c r="AB168" s="33">
        <v>0</v>
      </c>
      <c r="AC168" s="33">
        <v>0</v>
      </c>
      <c r="AD168" s="33">
        <v>0</v>
      </c>
      <c r="AE168" s="33">
        <v>0</v>
      </c>
    </row>
    <row r="169" spans="1:31" ht="15.95" hidden="1" customHeight="1" outlineLevel="2" x14ac:dyDescent="0.2">
      <c r="B169" s="31" t="s">
        <v>196</v>
      </c>
      <c r="C169" s="31" t="s">
        <v>192</v>
      </c>
      <c r="D169" s="31" t="s">
        <v>331</v>
      </c>
      <c r="E169" s="32">
        <f t="shared" si="4"/>
        <v>67886.23000000001</v>
      </c>
      <c r="F169" s="33">
        <v>0</v>
      </c>
      <c r="G169" s="33">
        <v>0</v>
      </c>
      <c r="H169" s="33">
        <v>0</v>
      </c>
      <c r="I169" s="33">
        <v>0</v>
      </c>
      <c r="J169" s="33">
        <v>0</v>
      </c>
      <c r="K169" s="33">
        <v>0</v>
      </c>
      <c r="L169" s="33">
        <v>0</v>
      </c>
      <c r="M169" s="33">
        <v>0</v>
      </c>
      <c r="N169" s="33">
        <v>0</v>
      </c>
      <c r="O169" s="33">
        <v>0</v>
      </c>
      <c r="P169" s="33">
        <v>0</v>
      </c>
      <c r="Q169" s="33">
        <v>0</v>
      </c>
      <c r="R169" s="33">
        <v>0</v>
      </c>
      <c r="S169" s="33">
        <v>0</v>
      </c>
      <c r="T169" s="33">
        <v>0</v>
      </c>
      <c r="U169" s="33">
        <v>0</v>
      </c>
      <c r="V169" s="33">
        <v>0</v>
      </c>
      <c r="W169" s="33">
        <v>0</v>
      </c>
      <c r="X169" s="33">
        <v>0</v>
      </c>
      <c r="Y169" s="33">
        <v>0</v>
      </c>
      <c r="Z169" s="33">
        <v>20864.86</v>
      </c>
      <c r="AA169" s="33">
        <v>0</v>
      </c>
      <c r="AB169" s="33">
        <v>0</v>
      </c>
      <c r="AC169" s="33">
        <v>0</v>
      </c>
      <c r="AD169" s="33">
        <v>0</v>
      </c>
      <c r="AE169" s="33">
        <v>47021.37</v>
      </c>
    </row>
    <row r="170" spans="1:31" ht="15.95" hidden="1" customHeight="1" outlineLevel="2" x14ac:dyDescent="0.2">
      <c r="B170" s="31" t="s">
        <v>196</v>
      </c>
      <c r="C170" s="31" t="s">
        <v>193</v>
      </c>
      <c r="D170" s="31" t="s">
        <v>332</v>
      </c>
      <c r="E170" s="32">
        <f t="shared" si="4"/>
        <v>477920.46025168931</v>
      </c>
      <c r="F170" s="33">
        <v>0</v>
      </c>
      <c r="G170" s="33">
        <v>0</v>
      </c>
      <c r="H170" s="33">
        <v>0</v>
      </c>
      <c r="I170" s="33">
        <v>6511.5330000000004</v>
      </c>
      <c r="J170" s="33">
        <v>0</v>
      </c>
      <c r="K170" s="33">
        <v>14969.252750000001</v>
      </c>
      <c r="L170" s="33">
        <v>43876.490250000003</v>
      </c>
      <c r="M170" s="33">
        <v>5267.6636250000001</v>
      </c>
      <c r="N170" s="33">
        <v>0</v>
      </c>
      <c r="O170" s="33">
        <v>85552.239999999991</v>
      </c>
      <c r="P170" s="33">
        <v>148686.59700168928</v>
      </c>
      <c r="Q170" s="33">
        <v>9878.9866250000014</v>
      </c>
      <c r="R170" s="33">
        <v>0</v>
      </c>
      <c r="S170" s="33">
        <v>0</v>
      </c>
      <c r="T170" s="33">
        <v>0</v>
      </c>
      <c r="U170" s="33">
        <v>0</v>
      </c>
      <c r="V170" s="33">
        <v>6248.8440000000001</v>
      </c>
      <c r="W170" s="33">
        <v>88008.661749999999</v>
      </c>
      <c r="X170" s="33">
        <v>47739.981249999997</v>
      </c>
      <c r="Y170" s="33">
        <v>2142.4299999999998</v>
      </c>
      <c r="Z170" s="33">
        <v>0</v>
      </c>
      <c r="AA170" s="33">
        <v>0</v>
      </c>
      <c r="AB170" s="33">
        <v>0</v>
      </c>
      <c r="AC170" s="33">
        <v>0</v>
      </c>
      <c r="AD170" s="33">
        <v>19037.78</v>
      </c>
      <c r="AE170" s="33">
        <v>0</v>
      </c>
    </row>
    <row r="171" spans="1:31" ht="15.95" hidden="1" customHeight="1" outlineLevel="2" x14ac:dyDescent="0.2">
      <c r="B171" s="31" t="s">
        <v>196</v>
      </c>
      <c r="C171" s="31" t="s">
        <v>194</v>
      </c>
      <c r="D171" s="31" t="s">
        <v>333</v>
      </c>
      <c r="E171" s="32">
        <f t="shared" si="4"/>
        <v>616001.4969126042</v>
      </c>
      <c r="F171" s="33">
        <v>1648.4</v>
      </c>
      <c r="G171" s="33">
        <v>12056.04</v>
      </c>
      <c r="H171" s="33">
        <v>0</v>
      </c>
      <c r="I171" s="33">
        <v>0</v>
      </c>
      <c r="J171" s="33">
        <v>0</v>
      </c>
      <c r="K171" s="33">
        <v>0</v>
      </c>
      <c r="L171" s="33">
        <v>0</v>
      </c>
      <c r="M171" s="33">
        <v>0</v>
      </c>
      <c r="N171" s="33">
        <v>212030.37</v>
      </c>
      <c r="O171" s="33">
        <v>0</v>
      </c>
      <c r="P171" s="33">
        <v>0</v>
      </c>
      <c r="Q171" s="33">
        <v>0</v>
      </c>
      <c r="R171" s="33">
        <v>0</v>
      </c>
      <c r="S171" s="33">
        <v>0</v>
      </c>
      <c r="T171" s="33">
        <v>0</v>
      </c>
      <c r="U171" s="33">
        <v>0</v>
      </c>
      <c r="V171" s="33">
        <v>0</v>
      </c>
      <c r="W171" s="33">
        <v>0</v>
      </c>
      <c r="X171" s="33">
        <v>0</v>
      </c>
      <c r="Y171" s="33">
        <v>0</v>
      </c>
      <c r="Z171" s="33">
        <v>0</v>
      </c>
      <c r="AA171" s="33">
        <v>0</v>
      </c>
      <c r="AB171" s="33">
        <v>137757.91</v>
      </c>
      <c r="AC171" s="33">
        <v>252508.77691260428</v>
      </c>
      <c r="AD171" s="33">
        <v>0</v>
      </c>
      <c r="AE171" s="33">
        <v>0</v>
      </c>
    </row>
    <row r="172" spans="1:31" ht="15.95" customHeight="1" outlineLevel="1" collapsed="1" x14ac:dyDescent="0.2">
      <c r="A172" s="6">
        <v>21</v>
      </c>
      <c r="B172" s="34"/>
      <c r="C172" s="31"/>
      <c r="D172" s="14" t="s">
        <v>197</v>
      </c>
      <c r="E172" s="22">
        <f t="shared" ref="E172:AE172" si="10">SUBTOTAL(9,E167:E171)</f>
        <v>1829343.6202892936</v>
      </c>
      <c r="F172" s="22">
        <f t="shared" si="10"/>
        <v>1648.4</v>
      </c>
      <c r="G172" s="22">
        <f t="shared" si="10"/>
        <v>12056.04</v>
      </c>
      <c r="H172" s="22">
        <f t="shared" si="10"/>
        <v>8577.77</v>
      </c>
      <c r="I172" s="22">
        <f t="shared" si="10"/>
        <v>6511.5330000000004</v>
      </c>
      <c r="J172" s="22">
        <f t="shared" si="10"/>
        <v>129488.81999999999</v>
      </c>
      <c r="K172" s="22">
        <f t="shared" si="10"/>
        <v>14969.252750000001</v>
      </c>
      <c r="L172" s="22">
        <f t="shared" si="10"/>
        <v>366080.95737499988</v>
      </c>
      <c r="M172" s="22">
        <f t="shared" si="10"/>
        <v>5267.6636250000001</v>
      </c>
      <c r="N172" s="22">
        <f t="shared" si="10"/>
        <v>212030.37</v>
      </c>
      <c r="O172" s="22">
        <f t="shared" si="10"/>
        <v>85552.239999999991</v>
      </c>
      <c r="P172" s="22">
        <f t="shared" si="10"/>
        <v>148686.59700168928</v>
      </c>
      <c r="Q172" s="22">
        <f t="shared" si="10"/>
        <v>9878.9866250000014</v>
      </c>
      <c r="R172" s="22">
        <f t="shared" si="10"/>
        <v>37632.01449999999</v>
      </c>
      <c r="S172" s="22">
        <f t="shared" si="10"/>
        <v>0</v>
      </c>
      <c r="T172" s="22">
        <f t="shared" si="10"/>
        <v>11507.603374999999</v>
      </c>
      <c r="U172" s="22">
        <f t="shared" si="10"/>
        <v>99351.448875000016</v>
      </c>
      <c r="V172" s="22">
        <f t="shared" si="10"/>
        <v>6248.8440000000001</v>
      </c>
      <c r="W172" s="22">
        <f t="shared" si="10"/>
        <v>90576.684999999998</v>
      </c>
      <c r="X172" s="22">
        <f t="shared" si="10"/>
        <v>47739.981249999997</v>
      </c>
      <c r="Y172" s="22">
        <f t="shared" si="10"/>
        <v>33985.339999999997</v>
      </c>
      <c r="Z172" s="22">
        <f t="shared" si="10"/>
        <v>20864.86</v>
      </c>
      <c r="AA172" s="22">
        <f t="shared" si="10"/>
        <v>24362.376000000004</v>
      </c>
      <c r="AB172" s="22">
        <f t="shared" si="10"/>
        <v>137757.91</v>
      </c>
      <c r="AC172" s="22">
        <f t="shared" si="10"/>
        <v>252508.77691260428</v>
      </c>
      <c r="AD172" s="22">
        <f t="shared" si="10"/>
        <v>19037.78</v>
      </c>
      <c r="AE172" s="22">
        <f t="shared" si="10"/>
        <v>47021.37</v>
      </c>
    </row>
    <row r="173" spans="1:31" ht="15.95" hidden="1" customHeight="1" outlineLevel="2" x14ac:dyDescent="0.2">
      <c r="B173" s="31" t="s">
        <v>198</v>
      </c>
      <c r="C173" s="31" t="s">
        <v>199</v>
      </c>
      <c r="D173" s="31" t="s">
        <v>334</v>
      </c>
      <c r="E173" s="32">
        <f t="shared" si="4"/>
        <v>14339.12169232584</v>
      </c>
      <c r="F173" s="33">
        <v>45.57</v>
      </c>
      <c r="G173" s="33">
        <v>333.17</v>
      </c>
      <c r="H173" s="33">
        <v>183.39</v>
      </c>
      <c r="I173" s="33">
        <v>230.07479999999998</v>
      </c>
      <c r="J173" s="33">
        <v>0</v>
      </c>
      <c r="K173" s="33">
        <v>127.2328</v>
      </c>
      <c r="L173" s="33">
        <v>2865.2798000000003</v>
      </c>
      <c r="M173" s="33">
        <v>0</v>
      </c>
      <c r="N173" s="33">
        <v>279.86</v>
      </c>
      <c r="O173" s="33">
        <v>366.89</v>
      </c>
      <c r="P173" s="33">
        <v>0</v>
      </c>
      <c r="Q173" s="33">
        <v>179.44455000000002</v>
      </c>
      <c r="R173" s="33">
        <v>285.27645000000001</v>
      </c>
      <c r="S173" s="33">
        <v>0</v>
      </c>
      <c r="T173" s="33">
        <v>494.11304999999999</v>
      </c>
      <c r="U173" s="33">
        <v>4266.4081999999999</v>
      </c>
      <c r="V173" s="33">
        <v>220.7971</v>
      </c>
      <c r="W173" s="33">
        <v>1301.1442</v>
      </c>
      <c r="X173" s="33">
        <v>1325.2176000000002</v>
      </c>
      <c r="Y173" s="33">
        <v>1442.7900000000002</v>
      </c>
      <c r="Z173" s="33">
        <v>0</v>
      </c>
      <c r="AA173" s="33">
        <v>299.12</v>
      </c>
      <c r="AB173" s="33">
        <v>28.06</v>
      </c>
      <c r="AC173" s="33">
        <v>65.283142325837119</v>
      </c>
      <c r="AD173" s="33">
        <v>0</v>
      </c>
      <c r="AE173" s="33">
        <v>0</v>
      </c>
    </row>
    <row r="174" spans="1:31" ht="15.95" hidden="1" customHeight="1" outlineLevel="2" x14ac:dyDescent="0.2">
      <c r="B174" s="31" t="s">
        <v>198</v>
      </c>
      <c r="C174" s="31" t="s">
        <v>200</v>
      </c>
      <c r="D174" s="31" t="s">
        <v>335</v>
      </c>
      <c r="E174" s="32">
        <f t="shared" si="4"/>
        <v>1001.7603665491151</v>
      </c>
      <c r="F174" s="33">
        <v>7.81</v>
      </c>
      <c r="G174" s="33">
        <v>57.12</v>
      </c>
      <c r="H174" s="33">
        <v>31.46</v>
      </c>
      <c r="I174" s="33">
        <v>39.444000000000003</v>
      </c>
      <c r="J174" s="33">
        <v>0</v>
      </c>
      <c r="K174" s="33">
        <v>0</v>
      </c>
      <c r="L174" s="33">
        <v>283.613</v>
      </c>
      <c r="M174" s="33">
        <v>0</v>
      </c>
      <c r="N174" s="33">
        <v>47.97</v>
      </c>
      <c r="O174" s="33">
        <v>11.52</v>
      </c>
      <c r="P174" s="33">
        <v>0</v>
      </c>
      <c r="Q174" s="33">
        <v>0</v>
      </c>
      <c r="R174" s="33">
        <v>0</v>
      </c>
      <c r="S174" s="33">
        <v>0</v>
      </c>
      <c r="T174" s="33">
        <v>0</v>
      </c>
      <c r="U174" s="33">
        <v>0</v>
      </c>
      <c r="V174" s="33">
        <v>0</v>
      </c>
      <c r="W174" s="33">
        <v>198.3477</v>
      </c>
      <c r="X174" s="33">
        <v>156.67169999999999</v>
      </c>
      <c r="Y174" s="33">
        <v>151.79000000000002</v>
      </c>
      <c r="Z174" s="33">
        <v>0</v>
      </c>
      <c r="AA174" s="33">
        <v>0</v>
      </c>
      <c r="AB174" s="33">
        <v>4.82</v>
      </c>
      <c r="AC174" s="33">
        <v>11.193966549115119</v>
      </c>
      <c r="AD174" s="33">
        <v>0</v>
      </c>
      <c r="AE174" s="33">
        <v>0</v>
      </c>
    </row>
    <row r="175" spans="1:31" ht="15.95" hidden="1" customHeight="1" outlineLevel="2" x14ac:dyDescent="0.2">
      <c r="B175" s="31" t="s">
        <v>198</v>
      </c>
      <c r="C175" s="31" t="s">
        <v>201</v>
      </c>
      <c r="D175" s="31" t="s">
        <v>336</v>
      </c>
      <c r="E175" s="32">
        <f t="shared" si="4"/>
        <v>4979.6170800153968</v>
      </c>
      <c r="F175" s="33">
        <v>17.920000000000002</v>
      </c>
      <c r="G175" s="33">
        <v>131.05000000000001</v>
      </c>
      <c r="H175" s="33">
        <v>72.27</v>
      </c>
      <c r="I175" s="33">
        <v>90.500799999999998</v>
      </c>
      <c r="J175" s="33">
        <v>0</v>
      </c>
      <c r="K175" s="33">
        <v>50.113899999999994</v>
      </c>
      <c r="L175" s="33">
        <v>1127.10185</v>
      </c>
      <c r="M175" s="33">
        <v>0</v>
      </c>
      <c r="N175" s="33">
        <v>110.07</v>
      </c>
      <c r="O175" s="33">
        <v>117.9</v>
      </c>
      <c r="P175" s="33">
        <v>0</v>
      </c>
      <c r="Q175" s="33">
        <v>70.593550000000008</v>
      </c>
      <c r="R175" s="33">
        <v>0</v>
      </c>
      <c r="S175" s="33">
        <v>0</v>
      </c>
      <c r="T175" s="33">
        <v>56.123849999999997</v>
      </c>
      <c r="U175" s="33">
        <v>1677.7978499999999</v>
      </c>
      <c r="V175" s="33">
        <v>86.845199999999991</v>
      </c>
      <c r="W175" s="33">
        <v>511.82240000000002</v>
      </c>
      <c r="X175" s="33">
        <v>161.3878</v>
      </c>
      <c r="Y175" s="33">
        <v>567.59</v>
      </c>
      <c r="Z175" s="33">
        <v>0</v>
      </c>
      <c r="AA175" s="33">
        <v>93.789999999999992</v>
      </c>
      <c r="AB175" s="33">
        <v>11.06</v>
      </c>
      <c r="AC175" s="33">
        <v>25.679880015395987</v>
      </c>
      <c r="AD175" s="33">
        <v>0</v>
      </c>
      <c r="AE175" s="33">
        <v>0</v>
      </c>
    </row>
    <row r="176" spans="1:31" ht="15.95" hidden="1" customHeight="1" outlineLevel="2" x14ac:dyDescent="0.2">
      <c r="B176" s="31" t="s">
        <v>198</v>
      </c>
      <c r="C176" s="31" t="s">
        <v>202</v>
      </c>
      <c r="D176" s="31" t="s">
        <v>337</v>
      </c>
      <c r="E176" s="32">
        <f t="shared" si="4"/>
        <v>3491.3011582920431</v>
      </c>
      <c r="F176" s="33">
        <v>14.38</v>
      </c>
      <c r="G176" s="33">
        <v>105.23</v>
      </c>
      <c r="H176" s="33">
        <v>0</v>
      </c>
      <c r="I176" s="33">
        <v>72.669299999999993</v>
      </c>
      <c r="J176" s="33">
        <v>0</v>
      </c>
      <c r="K176" s="33">
        <v>0</v>
      </c>
      <c r="L176" s="33">
        <v>892.08609999999999</v>
      </c>
      <c r="M176" s="33">
        <v>0</v>
      </c>
      <c r="N176" s="33">
        <v>88.38</v>
      </c>
      <c r="O176" s="33">
        <v>0</v>
      </c>
      <c r="P176" s="33">
        <v>0</v>
      </c>
      <c r="Q176" s="33">
        <v>0</v>
      </c>
      <c r="R176" s="33">
        <v>0</v>
      </c>
      <c r="S176" s="33">
        <v>0</v>
      </c>
      <c r="T176" s="33">
        <v>45.066900000000004</v>
      </c>
      <c r="U176" s="33">
        <v>1347.54935</v>
      </c>
      <c r="V176" s="33">
        <v>0</v>
      </c>
      <c r="W176" s="33">
        <v>365.39724999999999</v>
      </c>
      <c r="X176" s="33">
        <v>0</v>
      </c>
      <c r="Y176" s="33">
        <v>455.74</v>
      </c>
      <c r="Z176" s="33">
        <v>0</v>
      </c>
      <c r="AA176" s="33">
        <v>75.31</v>
      </c>
      <c r="AB176" s="33">
        <v>8.8699999999999992</v>
      </c>
      <c r="AC176" s="33">
        <v>20.622258292043792</v>
      </c>
      <c r="AD176" s="33">
        <v>0</v>
      </c>
      <c r="AE176" s="33">
        <v>0</v>
      </c>
    </row>
    <row r="177" spans="1:31" ht="15.95" hidden="1" customHeight="1" outlineLevel="2" x14ac:dyDescent="0.2">
      <c r="B177" s="31" t="s">
        <v>198</v>
      </c>
      <c r="C177" s="31" t="s">
        <v>203</v>
      </c>
      <c r="D177" s="31" t="s">
        <v>338</v>
      </c>
      <c r="E177" s="32">
        <f t="shared" si="4"/>
        <v>1048.0978965218799</v>
      </c>
      <c r="F177" s="33">
        <v>4.7</v>
      </c>
      <c r="G177" s="33">
        <v>34.35</v>
      </c>
      <c r="H177" s="33">
        <v>18.940000000000001</v>
      </c>
      <c r="I177" s="33">
        <v>23.723400000000002</v>
      </c>
      <c r="J177" s="33">
        <v>0</v>
      </c>
      <c r="K177" s="33">
        <v>13.1347</v>
      </c>
      <c r="L177" s="33">
        <v>132.7834</v>
      </c>
      <c r="M177" s="33">
        <v>0</v>
      </c>
      <c r="N177" s="33">
        <v>28.86</v>
      </c>
      <c r="O177" s="33">
        <v>30.9</v>
      </c>
      <c r="P177" s="33">
        <v>0</v>
      </c>
      <c r="Q177" s="33">
        <v>18.502199999999998</v>
      </c>
      <c r="R177" s="33">
        <v>0</v>
      </c>
      <c r="S177" s="33">
        <v>0</v>
      </c>
      <c r="T177" s="33">
        <v>14.715949999999999</v>
      </c>
      <c r="U177" s="33">
        <v>439.74455000000006</v>
      </c>
      <c r="V177" s="33">
        <v>22.765799999999999</v>
      </c>
      <c r="W177" s="33">
        <v>122.79865000000001</v>
      </c>
      <c r="X177" s="33">
        <v>42.687399999999997</v>
      </c>
      <c r="Y177" s="33">
        <v>65.289999999999992</v>
      </c>
      <c r="Z177" s="33">
        <v>0</v>
      </c>
      <c r="AA177" s="33">
        <v>24.58</v>
      </c>
      <c r="AB177" s="33">
        <v>2.89</v>
      </c>
      <c r="AC177" s="33">
        <v>6.7318465218798043</v>
      </c>
      <c r="AD177" s="33">
        <v>0</v>
      </c>
      <c r="AE177" s="33">
        <v>0</v>
      </c>
    </row>
    <row r="178" spans="1:31" ht="15.95" customHeight="1" outlineLevel="1" collapsed="1" x14ac:dyDescent="0.2">
      <c r="A178" s="6">
        <v>22</v>
      </c>
      <c r="B178" s="34"/>
      <c r="C178" s="31"/>
      <c r="D178" s="14" t="s">
        <v>204</v>
      </c>
      <c r="E178" s="22">
        <f t="shared" ref="E178:AE178" si="11">SUBTOTAL(9,E173:E177)</f>
        <v>24859.898193704274</v>
      </c>
      <c r="F178" s="22">
        <f t="shared" si="11"/>
        <v>90.38000000000001</v>
      </c>
      <c r="G178" s="22">
        <f t="shared" si="11"/>
        <v>660.92000000000007</v>
      </c>
      <c r="H178" s="22">
        <f t="shared" si="11"/>
        <v>306.06</v>
      </c>
      <c r="I178" s="22">
        <f t="shared" si="11"/>
        <v>456.41230000000002</v>
      </c>
      <c r="J178" s="22">
        <f t="shared" si="11"/>
        <v>0</v>
      </c>
      <c r="K178" s="22">
        <f t="shared" si="11"/>
        <v>190.48140000000001</v>
      </c>
      <c r="L178" s="22">
        <f t="shared" si="11"/>
        <v>5300.8641500000012</v>
      </c>
      <c r="M178" s="22">
        <f t="shared" si="11"/>
        <v>0</v>
      </c>
      <c r="N178" s="22">
        <f t="shared" si="11"/>
        <v>555.14</v>
      </c>
      <c r="O178" s="22">
        <f t="shared" si="11"/>
        <v>527.20999999999992</v>
      </c>
      <c r="P178" s="22">
        <f t="shared" si="11"/>
        <v>0</v>
      </c>
      <c r="Q178" s="22">
        <f t="shared" si="11"/>
        <v>268.54030000000006</v>
      </c>
      <c r="R178" s="22">
        <f t="shared" si="11"/>
        <v>285.27645000000001</v>
      </c>
      <c r="S178" s="22">
        <f t="shared" si="11"/>
        <v>0</v>
      </c>
      <c r="T178" s="22">
        <f t="shared" si="11"/>
        <v>610.01975000000004</v>
      </c>
      <c r="U178" s="22">
        <f t="shared" si="11"/>
        <v>7731.4999500000004</v>
      </c>
      <c r="V178" s="22">
        <f t="shared" si="11"/>
        <v>330.40809999999999</v>
      </c>
      <c r="W178" s="22">
        <f t="shared" si="11"/>
        <v>2499.5102000000002</v>
      </c>
      <c r="X178" s="22">
        <f t="shared" si="11"/>
        <v>1685.9645000000003</v>
      </c>
      <c r="Y178" s="22">
        <f t="shared" si="11"/>
        <v>2683.2</v>
      </c>
      <c r="Z178" s="22">
        <f t="shared" si="11"/>
        <v>0</v>
      </c>
      <c r="AA178" s="22">
        <f t="shared" si="11"/>
        <v>492.79999999999995</v>
      </c>
      <c r="AB178" s="22">
        <f t="shared" si="11"/>
        <v>55.699999999999996</v>
      </c>
      <c r="AC178" s="22">
        <f t="shared" si="11"/>
        <v>129.51109370427184</v>
      </c>
      <c r="AD178" s="22">
        <f t="shared" si="11"/>
        <v>0</v>
      </c>
      <c r="AE178" s="22">
        <f t="shared" si="11"/>
        <v>0</v>
      </c>
    </row>
    <row r="179" spans="1:31" ht="15.95" hidden="1" customHeight="1" outlineLevel="2" x14ac:dyDescent="0.2">
      <c r="B179" s="31" t="s">
        <v>205</v>
      </c>
      <c r="C179" s="31" t="s">
        <v>199</v>
      </c>
      <c r="D179" s="31" t="s">
        <v>334</v>
      </c>
      <c r="E179" s="32">
        <f t="shared" si="4"/>
        <v>336184.37892695557</v>
      </c>
      <c r="F179" s="33">
        <v>3080.42</v>
      </c>
      <c r="G179" s="33">
        <v>1420.38</v>
      </c>
      <c r="H179" s="33">
        <v>781.85</v>
      </c>
      <c r="I179" s="33">
        <v>980.84519999999998</v>
      </c>
      <c r="J179" s="33">
        <v>15365.810000000001</v>
      </c>
      <c r="K179" s="33">
        <v>1470.2121999999999</v>
      </c>
      <c r="L179" s="33">
        <v>25533.9702</v>
      </c>
      <c r="M179" s="33">
        <v>14796.02</v>
      </c>
      <c r="N179" s="33">
        <v>39143.26</v>
      </c>
      <c r="O179" s="33">
        <v>5030.42</v>
      </c>
      <c r="P179" s="33">
        <v>91364.809292244376</v>
      </c>
      <c r="Q179" s="33">
        <v>1233.6104500000001</v>
      </c>
      <c r="R179" s="33">
        <v>5223.8585499999999</v>
      </c>
      <c r="S179" s="33">
        <v>0</v>
      </c>
      <c r="T179" s="33">
        <v>2106.4519500000001</v>
      </c>
      <c r="U179" s="33">
        <v>18188.371800000001</v>
      </c>
      <c r="V179" s="33">
        <v>941.29290000000003</v>
      </c>
      <c r="W179" s="33">
        <v>10848.770799999998</v>
      </c>
      <c r="X179" s="33">
        <v>8130.0923999999995</v>
      </c>
      <c r="Y179" s="33">
        <v>6150.8899999999994</v>
      </c>
      <c r="Z179" s="33">
        <v>3839.98</v>
      </c>
      <c r="AA179" s="33">
        <v>4201.2299999999996</v>
      </c>
      <c r="AB179" s="33">
        <v>10562.24</v>
      </c>
      <c r="AC179" s="33">
        <v>59050.703184711238</v>
      </c>
      <c r="AD179" s="33">
        <v>1847.54</v>
      </c>
      <c r="AE179" s="33">
        <v>4891.3500000000004</v>
      </c>
    </row>
    <row r="180" spans="1:31" ht="15.95" hidden="1" customHeight="1" outlineLevel="2" x14ac:dyDescent="0.2">
      <c r="B180" s="31" t="s">
        <v>205</v>
      </c>
      <c r="C180" s="31" t="s">
        <v>200</v>
      </c>
      <c r="D180" s="31" t="s">
        <v>335</v>
      </c>
      <c r="E180" s="32">
        <f t="shared" si="4"/>
        <v>34204.777747480075</v>
      </c>
      <c r="F180" s="33">
        <v>532.85</v>
      </c>
      <c r="G180" s="33">
        <v>243.52</v>
      </c>
      <c r="H180" s="33">
        <v>134.13999999999999</v>
      </c>
      <c r="I180" s="33">
        <v>168.15600000000001</v>
      </c>
      <c r="J180" s="33">
        <v>0</v>
      </c>
      <c r="K180" s="33">
        <v>43.19</v>
      </c>
      <c r="L180" s="33">
        <v>2496.1970000000006</v>
      </c>
      <c r="M180" s="33">
        <v>0</v>
      </c>
      <c r="N180" s="33">
        <v>6710.8700000000008</v>
      </c>
      <c r="O180" s="33">
        <v>449.16999999999996</v>
      </c>
      <c r="P180" s="33">
        <v>7308.7721421414226</v>
      </c>
      <c r="Q180" s="33">
        <v>0</v>
      </c>
      <c r="R180" s="33">
        <v>0</v>
      </c>
      <c r="S180" s="33">
        <v>0</v>
      </c>
      <c r="T180" s="33">
        <v>0</v>
      </c>
      <c r="U180" s="33">
        <v>0</v>
      </c>
      <c r="V180" s="33">
        <v>0</v>
      </c>
      <c r="W180" s="33">
        <v>948.09230000000002</v>
      </c>
      <c r="X180" s="33">
        <v>1091.2083000000002</v>
      </c>
      <c r="Y180" s="33">
        <v>647.13</v>
      </c>
      <c r="Z180" s="33">
        <v>658.35</v>
      </c>
      <c r="AA180" s="33">
        <v>0</v>
      </c>
      <c r="AB180" s="33">
        <v>1810.01</v>
      </c>
      <c r="AC180" s="33">
        <v>10124.512005338651</v>
      </c>
      <c r="AD180" s="33">
        <v>0</v>
      </c>
      <c r="AE180" s="33">
        <v>838.61</v>
      </c>
    </row>
    <row r="181" spans="1:31" ht="15.95" hidden="1" customHeight="1" outlineLevel="2" x14ac:dyDescent="0.2">
      <c r="B181" s="31" t="s">
        <v>205</v>
      </c>
      <c r="C181" s="31" t="s">
        <v>201</v>
      </c>
      <c r="D181" s="31" t="s">
        <v>336</v>
      </c>
      <c r="E181" s="32">
        <f t="shared" si="4"/>
        <v>109214.52247710977</v>
      </c>
      <c r="F181" s="33">
        <v>1186.4299999999998</v>
      </c>
      <c r="G181" s="33">
        <v>558.71</v>
      </c>
      <c r="H181" s="33">
        <v>308.09000000000003</v>
      </c>
      <c r="I181" s="33">
        <v>385.81920000000002</v>
      </c>
      <c r="J181" s="33">
        <v>6042.58</v>
      </c>
      <c r="K181" s="33">
        <v>579.24609999999996</v>
      </c>
      <c r="L181" s="33">
        <v>10044.82315</v>
      </c>
      <c r="M181" s="33">
        <v>5820.1399999999994</v>
      </c>
      <c r="N181" s="33">
        <v>15397.52</v>
      </c>
      <c r="O181" s="33">
        <v>948.28</v>
      </c>
      <c r="P181" s="33">
        <v>19219.689169242782</v>
      </c>
      <c r="Q181" s="33">
        <v>485.29145000000005</v>
      </c>
      <c r="R181" s="33">
        <v>3.31</v>
      </c>
      <c r="S181" s="33">
        <v>0</v>
      </c>
      <c r="T181" s="33">
        <v>239.25115</v>
      </c>
      <c r="U181" s="33">
        <v>7152.7171500000004</v>
      </c>
      <c r="V181" s="33">
        <v>370.23480000000001</v>
      </c>
      <c r="W181" s="33">
        <v>4267.4476000000004</v>
      </c>
      <c r="X181" s="33">
        <v>767.81220000000008</v>
      </c>
      <c r="Y181" s="33">
        <v>2419.7400000000002</v>
      </c>
      <c r="Z181" s="33">
        <v>1510.47</v>
      </c>
      <c r="AA181" s="33">
        <v>1473.1950000000002</v>
      </c>
      <c r="AB181" s="33">
        <v>4155.58</v>
      </c>
      <c r="AC181" s="33">
        <v>23227.385507866977</v>
      </c>
      <c r="AD181" s="33">
        <v>726.74</v>
      </c>
      <c r="AE181" s="33">
        <v>1924.02</v>
      </c>
    </row>
    <row r="182" spans="1:31" ht="15.95" hidden="1" customHeight="1" outlineLevel="2" x14ac:dyDescent="0.2">
      <c r="B182" s="31" t="s">
        <v>205</v>
      </c>
      <c r="C182" s="31" t="s">
        <v>202</v>
      </c>
      <c r="D182" s="31" t="s">
        <v>337</v>
      </c>
      <c r="E182" s="32">
        <f t="shared" si="4"/>
        <v>61953.689305405904</v>
      </c>
      <c r="F182" s="33">
        <v>949.38</v>
      </c>
      <c r="G182" s="33">
        <v>448.61</v>
      </c>
      <c r="H182" s="33">
        <v>0</v>
      </c>
      <c r="I182" s="33">
        <v>309.80070000000001</v>
      </c>
      <c r="J182" s="33">
        <v>4851.83</v>
      </c>
      <c r="K182" s="33">
        <v>79.594999999999999</v>
      </c>
      <c r="L182" s="33">
        <v>6759.9139000000005</v>
      </c>
      <c r="M182" s="33">
        <v>0</v>
      </c>
      <c r="N182" s="33">
        <v>12362.990000000002</v>
      </c>
      <c r="O182" s="33">
        <v>0</v>
      </c>
      <c r="P182" s="33">
        <v>0</v>
      </c>
      <c r="Q182" s="33">
        <v>0</v>
      </c>
      <c r="R182" s="33">
        <v>3.31</v>
      </c>
      <c r="S182" s="33">
        <v>0</v>
      </c>
      <c r="T182" s="33">
        <v>192.11310000000003</v>
      </c>
      <c r="U182" s="33">
        <v>5744.8156500000005</v>
      </c>
      <c r="V182" s="33">
        <v>0</v>
      </c>
      <c r="W182" s="33">
        <v>1746.6277500000003</v>
      </c>
      <c r="X182" s="33">
        <v>60.43</v>
      </c>
      <c r="Y182" s="33">
        <v>1942.86</v>
      </c>
      <c r="Z182" s="33">
        <v>1212.83</v>
      </c>
      <c r="AA182" s="33">
        <v>1183.0550000000001</v>
      </c>
      <c r="AB182" s="33">
        <v>3337.31</v>
      </c>
      <c r="AC182" s="33">
        <v>18650.888205405903</v>
      </c>
      <c r="AD182" s="33">
        <v>572.41</v>
      </c>
      <c r="AE182" s="33">
        <v>1544.92</v>
      </c>
    </row>
    <row r="183" spans="1:31" ht="15.95" hidden="1" customHeight="1" outlineLevel="2" x14ac:dyDescent="0.2">
      <c r="B183" s="31" t="s">
        <v>205</v>
      </c>
      <c r="C183" s="31" t="s">
        <v>203</v>
      </c>
      <c r="D183" s="31" t="s">
        <v>338</v>
      </c>
      <c r="E183" s="32">
        <f t="shared" si="4"/>
        <v>26612.697478515678</v>
      </c>
      <c r="F183" s="33">
        <v>297.52999999999997</v>
      </c>
      <c r="G183" s="33">
        <v>146.46</v>
      </c>
      <c r="H183" s="33">
        <v>80.759999999999991</v>
      </c>
      <c r="I183" s="33">
        <v>101.13660000000002</v>
      </c>
      <c r="J183" s="33">
        <v>1583.3000000000002</v>
      </c>
      <c r="K183" s="33">
        <v>151.84530000000004</v>
      </c>
      <c r="L183" s="33">
        <v>1165.5466000000001</v>
      </c>
      <c r="M183" s="33">
        <v>1525.6599999999999</v>
      </c>
      <c r="N183" s="33">
        <v>4036.3</v>
      </c>
      <c r="O183" s="33">
        <v>248.56</v>
      </c>
      <c r="P183" s="33">
        <v>4904.8250498679226</v>
      </c>
      <c r="Q183" s="33">
        <v>127.20780000000001</v>
      </c>
      <c r="R183" s="33">
        <v>1.66</v>
      </c>
      <c r="S183" s="33">
        <v>0</v>
      </c>
      <c r="T183" s="33">
        <v>62.739049999999992</v>
      </c>
      <c r="U183" s="33">
        <v>1874.7004500000003</v>
      </c>
      <c r="V183" s="33">
        <v>97.054199999999994</v>
      </c>
      <c r="W183" s="33">
        <v>1070.2063500000002</v>
      </c>
      <c r="X183" s="33">
        <v>202.89259999999999</v>
      </c>
      <c r="Y183" s="33">
        <v>278.37</v>
      </c>
      <c r="Z183" s="33">
        <v>395.94</v>
      </c>
      <c r="AA183" s="33">
        <v>386.24</v>
      </c>
      <c r="AB183" s="33">
        <v>1089.49</v>
      </c>
      <c r="AC183" s="33">
        <v>6089.4234786477591</v>
      </c>
      <c r="AD183" s="33">
        <v>190.5</v>
      </c>
      <c r="AE183" s="33">
        <v>504.35</v>
      </c>
    </row>
    <row r="184" spans="1:31" ht="15.95" customHeight="1" outlineLevel="1" collapsed="1" x14ac:dyDescent="0.2">
      <c r="A184" s="6">
        <v>23</v>
      </c>
      <c r="B184" s="34"/>
      <c r="C184" s="31"/>
      <c r="D184" s="14" t="s">
        <v>206</v>
      </c>
      <c r="E184" s="22">
        <f t="shared" ref="E184:AE184" si="12">SUBTOTAL(9,E179:E183)</f>
        <v>568170.06593546702</v>
      </c>
      <c r="F184" s="22">
        <f t="shared" si="12"/>
        <v>6046.61</v>
      </c>
      <c r="G184" s="22">
        <f t="shared" si="12"/>
        <v>2817.6800000000003</v>
      </c>
      <c r="H184" s="22">
        <f t="shared" si="12"/>
        <v>1304.8399999999999</v>
      </c>
      <c r="I184" s="22">
        <f t="shared" si="12"/>
        <v>1945.7577000000001</v>
      </c>
      <c r="J184" s="22">
        <f t="shared" si="12"/>
        <v>27843.52</v>
      </c>
      <c r="K184" s="22">
        <f t="shared" si="12"/>
        <v>2324.0885999999996</v>
      </c>
      <c r="L184" s="22">
        <f t="shared" si="12"/>
        <v>46000.450850000001</v>
      </c>
      <c r="M184" s="22">
        <f t="shared" si="12"/>
        <v>22141.82</v>
      </c>
      <c r="N184" s="22">
        <f t="shared" si="12"/>
        <v>77650.940000000017</v>
      </c>
      <c r="O184" s="22">
        <f t="shared" si="12"/>
        <v>6676.43</v>
      </c>
      <c r="P184" s="22">
        <f t="shared" si="12"/>
        <v>122798.09565349649</v>
      </c>
      <c r="Q184" s="22">
        <f t="shared" si="12"/>
        <v>1846.1097000000002</v>
      </c>
      <c r="R184" s="22">
        <f t="shared" si="12"/>
        <v>5232.1385500000006</v>
      </c>
      <c r="S184" s="22">
        <f t="shared" si="12"/>
        <v>0</v>
      </c>
      <c r="T184" s="22">
        <f t="shared" si="12"/>
        <v>2600.5552500000003</v>
      </c>
      <c r="U184" s="22">
        <f t="shared" si="12"/>
        <v>32960.605049999998</v>
      </c>
      <c r="V184" s="22">
        <f t="shared" si="12"/>
        <v>1408.5819000000001</v>
      </c>
      <c r="W184" s="22">
        <f t="shared" si="12"/>
        <v>18881.144799999998</v>
      </c>
      <c r="X184" s="22">
        <f t="shared" si="12"/>
        <v>10252.4355</v>
      </c>
      <c r="Y184" s="22">
        <f t="shared" si="12"/>
        <v>11438.990000000002</v>
      </c>
      <c r="Z184" s="22">
        <f t="shared" si="12"/>
        <v>7617.57</v>
      </c>
      <c r="AA184" s="22">
        <f t="shared" si="12"/>
        <v>7243.7199999999993</v>
      </c>
      <c r="AB184" s="22">
        <f t="shared" si="12"/>
        <v>20954.630000000005</v>
      </c>
      <c r="AC184" s="22">
        <f t="shared" si="12"/>
        <v>117142.91238197053</v>
      </c>
      <c r="AD184" s="22">
        <f t="shared" si="12"/>
        <v>3337.1899999999996</v>
      </c>
      <c r="AE184" s="22">
        <f t="shared" si="12"/>
        <v>9703.25</v>
      </c>
    </row>
    <row r="185" spans="1:31" ht="15.95" hidden="1" customHeight="1" outlineLevel="2" x14ac:dyDescent="0.2">
      <c r="B185" s="31" t="s">
        <v>207</v>
      </c>
      <c r="C185" s="31" t="s">
        <v>208</v>
      </c>
      <c r="D185" s="31" t="s">
        <v>339</v>
      </c>
      <c r="E185" s="32">
        <f>SUM(F185:AE185)</f>
        <v>2385154.4211873305</v>
      </c>
      <c r="F185" s="33">
        <v>10584.67</v>
      </c>
      <c r="G185" s="33">
        <v>77383.81</v>
      </c>
      <c r="H185" s="33">
        <v>42595.75</v>
      </c>
      <c r="I185" s="33">
        <v>11651.95</v>
      </c>
      <c r="J185" s="33">
        <v>0</v>
      </c>
      <c r="K185" s="33">
        <v>28589.329999999998</v>
      </c>
      <c r="L185" s="33">
        <v>685156.27999999991</v>
      </c>
      <c r="M185" s="33">
        <v>6103.86</v>
      </c>
      <c r="N185" s="33">
        <v>65002.590000000004</v>
      </c>
      <c r="O185" s="33">
        <v>85214.75</v>
      </c>
      <c r="P185" s="33">
        <v>0</v>
      </c>
      <c r="Q185" s="33">
        <v>41678.32</v>
      </c>
      <c r="R185" s="33">
        <v>66260.214999999997</v>
      </c>
      <c r="S185" s="33">
        <v>0</v>
      </c>
      <c r="T185" s="33">
        <v>114762.27499999998</v>
      </c>
      <c r="U185" s="33">
        <v>134635.44</v>
      </c>
      <c r="V185" s="33">
        <v>51282.11</v>
      </c>
      <c r="W185" s="33">
        <v>300266.36499999999</v>
      </c>
      <c r="X185" s="33">
        <v>235691.75</v>
      </c>
      <c r="Y185" s="33">
        <v>335108.19</v>
      </c>
      <c r="Z185" s="33">
        <v>0</v>
      </c>
      <c r="AA185" s="33">
        <v>71507.010000000009</v>
      </c>
      <c r="AB185" s="33">
        <v>6516.5999999999995</v>
      </c>
      <c r="AC185" s="33">
        <v>15163.156187330496</v>
      </c>
      <c r="AD185" s="33">
        <v>0</v>
      </c>
      <c r="AE185" s="33">
        <v>0</v>
      </c>
    </row>
    <row r="186" spans="1:31" ht="15.95" customHeight="1" outlineLevel="1" collapsed="1" x14ac:dyDescent="0.2">
      <c r="A186" s="6">
        <v>24</v>
      </c>
      <c r="B186" s="34"/>
      <c r="C186" s="31"/>
      <c r="D186" s="14" t="s">
        <v>209</v>
      </c>
      <c r="E186" s="22">
        <f t="shared" ref="E186:AE186" si="13">SUBTOTAL(9,E185:E185)</f>
        <v>2385154.4211873305</v>
      </c>
      <c r="F186" s="22">
        <f t="shared" si="13"/>
        <v>10584.67</v>
      </c>
      <c r="G186" s="22">
        <f t="shared" si="13"/>
        <v>77383.81</v>
      </c>
      <c r="H186" s="22">
        <f t="shared" si="13"/>
        <v>42595.75</v>
      </c>
      <c r="I186" s="22">
        <f t="shared" si="13"/>
        <v>11651.95</v>
      </c>
      <c r="J186" s="22">
        <f t="shared" si="13"/>
        <v>0</v>
      </c>
      <c r="K186" s="22">
        <f t="shared" si="13"/>
        <v>28589.329999999998</v>
      </c>
      <c r="L186" s="22">
        <f t="shared" si="13"/>
        <v>685156.27999999991</v>
      </c>
      <c r="M186" s="22">
        <f t="shared" si="13"/>
        <v>6103.86</v>
      </c>
      <c r="N186" s="22">
        <f t="shared" si="13"/>
        <v>65002.590000000004</v>
      </c>
      <c r="O186" s="22">
        <f t="shared" si="13"/>
        <v>85214.75</v>
      </c>
      <c r="P186" s="22">
        <f t="shared" si="13"/>
        <v>0</v>
      </c>
      <c r="Q186" s="22">
        <f t="shared" si="13"/>
        <v>41678.32</v>
      </c>
      <c r="R186" s="22">
        <f t="shared" si="13"/>
        <v>66260.214999999997</v>
      </c>
      <c r="S186" s="22">
        <f t="shared" si="13"/>
        <v>0</v>
      </c>
      <c r="T186" s="22">
        <f t="shared" si="13"/>
        <v>114762.27499999998</v>
      </c>
      <c r="U186" s="22">
        <f t="shared" si="13"/>
        <v>134635.44</v>
      </c>
      <c r="V186" s="22">
        <f t="shared" si="13"/>
        <v>51282.11</v>
      </c>
      <c r="W186" s="22">
        <f t="shared" si="13"/>
        <v>300266.36499999999</v>
      </c>
      <c r="X186" s="22">
        <f t="shared" si="13"/>
        <v>235691.75</v>
      </c>
      <c r="Y186" s="22">
        <f t="shared" si="13"/>
        <v>335108.19</v>
      </c>
      <c r="Z186" s="22">
        <f t="shared" si="13"/>
        <v>0</v>
      </c>
      <c r="AA186" s="22">
        <f t="shared" si="13"/>
        <v>71507.010000000009</v>
      </c>
      <c r="AB186" s="22">
        <f t="shared" si="13"/>
        <v>6516.5999999999995</v>
      </c>
      <c r="AC186" s="22">
        <f t="shared" si="13"/>
        <v>15163.156187330496</v>
      </c>
      <c r="AD186" s="22">
        <f t="shared" si="13"/>
        <v>0</v>
      </c>
      <c r="AE186" s="22">
        <f t="shared" si="13"/>
        <v>0</v>
      </c>
    </row>
    <row r="187" spans="1:31" ht="15.95" customHeight="1" x14ac:dyDescent="0.2">
      <c r="A187" s="6">
        <v>25</v>
      </c>
      <c r="D187" s="14" t="s">
        <v>365</v>
      </c>
      <c r="E187" s="25">
        <f t="shared" ref="E187" si="14">SUBTOTAL(9,E22:E185)</f>
        <v>72407206.604091197</v>
      </c>
      <c r="F187" s="25">
        <f>ROUND(SUBTOTAL(9,F22:F185),0)</f>
        <v>1885165</v>
      </c>
      <c r="G187" s="25">
        <f t="shared" ref="G187:AE187" si="15">ROUND(SUBTOTAL(9,G22:G185),0)</f>
        <v>345970</v>
      </c>
      <c r="H187" s="25">
        <f t="shared" si="15"/>
        <v>239798</v>
      </c>
      <c r="I187" s="25">
        <f t="shared" si="15"/>
        <v>1005334</v>
      </c>
      <c r="J187" s="25">
        <f t="shared" si="15"/>
        <v>2092064</v>
      </c>
      <c r="K187" s="25">
        <f t="shared" si="15"/>
        <v>1042687</v>
      </c>
      <c r="L187" s="25">
        <f t="shared" si="15"/>
        <v>15418016</v>
      </c>
      <c r="M187" s="25">
        <f t="shared" si="15"/>
        <v>1761631</v>
      </c>
      <c r="N187" s="25">
        <f t="shared" si="15"/>
        <v>5157438</v>
      </c>
      <c r="O187" s="25">
        <f t="shared" si="15"/>
        <v>988890</v>
      </c>
      <c r="P187" s="25">
        <f t="shared" si="15"/>
        <v>7985254</v>
      </c>
      <c r="Q187" s="25">
        <f t="shared" si="15"/>
        <v>656572</v>
      </c>
      <c r="R187" s="25">
        <f t="shared" si="15"/>
        <v>1268597</v>
      </c>
      <c r="S187" s="25">
        <f t="shared" si="15"/>
        <v>17804</v>
      </c>
      <c r="T187" s="25">
        <f t="shared" si="15"/>
        <v>2722170</v>
      </c>
      <c r="U187" s="25">
        <f t="shared" si="15"/>
        <v>15348056</v>
      </c>
      <c r="V187" s="25">
        <f t="shared" si="15"/>
        <v>272626</v>
      </c>
      <c r="W187" s="25">
        <f t="shared" si="15"/>
        <v>3287339</v>
      </c>
      <c r="X187" s="25">
        <f t="shared" si="15"/>
        <v>2175574</v>
      </c>
      <c r="Y187" s="25">
        <f t="shared" si="15"/>
        <v>1478129</v>
      </c>
      <c r="Z187" s="25">
        <f t="shared" si="15"/>
        <v>197243</v>
      </c>
      <c r="AA187" s="25">
        <f t="shared" si="15"/>
        <v>1065581</v>
      </c>
      <c r="AB187" s="25">
        <f t="shared" si="15"/>
        <v>1867337</v>
      </c>
      <c r="AC187" s="25">
        <f t="shared" si="15"/>
        <v>3397640</v>
      </c>
      <c r="AD187" s="25">
        <f t="shared" si="15"/>
        <v>337303</v>
      </c>
      <c r="AE187" s="25">
        <f t="shared" si="15"/>
        <v>392990</v>
      </c>
    </row>
    <row r="188" spans="1:31" ht="15.95" customHeight="1" thickBot="1" x14ac:dyDescent="0.25">
      <c r="A188" s="6">
        <v>26</v>
      </c>
      <c r="D188" s="65" t="s">
        <v>345</v>
      </c>
      <c r="E188" s="35">
        <f>SUM(F188:AE188)</f>
        <v>76426561</v>
      </c>
      <c r="F188" s="35">
        <f t="shared" ref="F188:AE188" si="16">F19+F187</f>
        <v>1933851</v>
      </c>
      <c r="G188" s="35">
        <f t="shared" si="16"/>
        <v>367100</v>
      </c>
      <c r="H188" s="35">
        <f t="shared" si="16"/>
        <v>261373</v>
      </c>
      <c r="I188" s="35">
        <f t="shared" si="16"/>
        <v>1057333</v>
      </c>
      <c r="J188" s="35">
        <f t="shared" si="16"/>
        <v>2260934</v>
      </c>
      <c r="K188" s="35">
        <f t="shared" si="16"/>
        <v>1113785</v>
      </c>
      <c r="L188" s="35">
        <f t="shared" si="16"/>
        <v>16106107</v>
      </c>
      <c r="M188" s="35">
        <f t="shared" si="16"/>
        <v>1807879</v>
      </c>
      <c r="N188" s="35">
        <f t="shared" si="16"/>
        <v>5297335</v>
      </c>
      <c r="O188" s="35">
        <f t="shared" si="16"/>
        <v>1072017</v>
      </c>
      <c r="P188" s="35">
        <f t="shared" si="16"/>
        <v>8319548</v>
      </c>
      <c r="Q188" s="35">
        <f t="shared" si="16"/>
        <v>736238</v>
      </c>
      <c r="R188" s="35">
        <f t="shared" si="16"/>
        <v>1361192</v>
      </c>
      <c r="S188" s="35">
        <f t="shared" si="16"/>
        <v>25381</v>
      </c>
      <c r="T188" s="35">
        <f t="shared" si="16"/>
        <v>3147918</v>
      </c>
      <c r="U188" s="35">
        <f t="shared" si="16"/>
        <v>16049633</v>
      </c>
      <c r="V188" s="35">
        <f t="shared" si="16"/>
        <v>353218</v>
      </c>
      <c r="W188" s="35">
        <f t="shared" si="16"/>
        <v>3477442</v>
      </c>
      <c r="X188" s="35">
        <f t="shared" si="16"/>
        <v>2415946</v>
      </c>
      <c r="Y188" s="35">
        <f t="shared" si="16"/>
        <v>1595519</v>
      </c>
      <c r="Z188" s="35">
        <f t="shared" si="16"/>
        <v>207689</v>
      </c>
      <c r="AA188" s="35">
        <f t="shared" si="16"/>
        <v>1123798</v>
      </c>
      <c r="AB188" s="35">
        <f t="shared" si="16"/>
        <v>1930513</v>
      </c>
      <c r="AC188" s="35">
        <f t="shared" si="16"/>
        <v>3624125</v>
      </c>
      <c r="AD188" s="35">
        <f t="shared" si="16"/>
        <v>375983</v>
      </c>
      <c r="AE188" s="35">
        <f t="shared" si="16"/>
        <v>404704</v>
      </c>
    </row>
    <row r="189" spans="1:31" ht="7.5" customHeight="1" thickTop="1" x14ac:dyDescent="0.2">
      <c r="D189" s="36"/>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row>
    <row r="190" spans="1:31" ht="15.95" customHeight="1" x14ac:dyDescent="0.2">
      <c r="A190" s="6">
        <v>27</v>
      </c>
      <c r="C190" s="38"/>
      <c r="D190" s="39" t="s">
        <v>346</v>
      </c>
      <c r="E190" s="40">
        <f>SUM(F190:AE190)</f>
        <v>126802558</v>
      </c>
      <c r="F190" s="40">
        <f t="shared" ref="F190:AE190" si="17">F13-F188</f>
        <v>731397</v>
      </c>
      <c r="G190" s="40">
        <f t="shared" si="17"/>
        <v>1183083</v>
      </c>
      <c r="H190" s="40">
        <f t="shared" si="17"/>
        <v>999240</v>
      </c>
      <c r="I190" s="40">
        <f t="shared" si="17"/>
        <v>1060428</v>
      </c>
      <c r="J190" s="40">
        <f t="shared" si="17"/>
        <v>3416126</v>
      </c>
      <c r="K190" s="40">
        <f t="shared" si="17"/>
        <v>2504092</v>
      </c>
      <c r="L190" s="40">
        <f t="shared" si="17"/>
        <v>23948968</v>
      </c>
      <c r="M190" s="40">
        <f t="shared" si="17"/>
        <v>1571480</v>
      </c>
      <c r="N190" s="40">
        <f t="shared" si="17"/>
        <v>2456863</v>
      </c>
      <c r="O190" s="40">
        <f t="shared" si="17"/>
        <v>2289738</v>
      </c>
      <c r="P190" s="40">
        <f t="shared" si="17"/>
        <v>12695173</v>
      </c>
      <c r="Q190" s="40">
        <f t="shared" si="17"/>
        <v>2248360</v>
      </c>
      <c r="R190" s="40">
        <f t="shared" si="17"/>
        <v>3485335</v>
      </c>
      <c r="S190" s="40">
        <f t="shared" si="17"/>
        <v>98167</v>
      </c>
      <c r="T190" s="40">
        <f t="shared" si="17"/>
        <v>14428666</v>
      </c>
      <c r="U190" s="40">
        <f t="shared" si="17"/>
        <v>17676763</v>
      </c>
      <c r="V190" s="40">
        <f t="shared" si="17"/>
        <v>2721962</v>
      </c>
      <c r="W190" s="40">
        <f t="shared" si="17"/>
        <v>4697457</v>
      </c>
      <c r="X190" s="40">
        <f t="shared" si="17"/>
        <v>10044234</v>
      </c>
      <c r="Y190" s="40">
        <f t="shared" si="17"/>
        <v>4110355</v>
      </c>
      <c r="Z190" s="40">
        <f t="shared" si="17"/>
        <v>530932</v>
      </c>
      <c r="AA190" s="40">
        <f t="shared" si="17"/>
        <v>3293224</v>
      </c>
      <c r="AB190" s="40">
        <f t="shared" si="17"/>
        <v>817453</v>
      </c>
      <c r="AC190" s="40">
        <f t="shared" si="17"/>
        <v>8960583</v>
      </c>
      <c r="AD190" s="40">
        <f t="shared" si="17"/>
        <v>426921</v>
      </c>
      <c r="AE190" s="40">
        <f t="shared" si="17"/>
        <v>405558</v>
      </c>
    </row>
    <row r="191" spans="1:31" ht="54" customHeight="1" x14ac:dyDescent="0.2">
      <c r="A191" s="6">
        <v>28</v>
      </c>
      <c r="D191" s="1" t="s">
        <v>347</v>
      </c>
      <c r="E191" s="1"/>
      <c r="F191" s="1"/>
      <c r="G191" s="1"/>
      <c r="H191" s="1"/>
      <c r="I191" s="1"/>
      <c r="J191" s="1"/>
      <c r="K191" s="21"/>
      <c r="L191" s="21"/>
      <c r="M191" s="21"/>
      <c r="N191" s="21"/>
      <c r="O191" s="21"/>
      <c r="P191" s="21"/>
      <c r="Q191" s="21"/>
      <c r="R191" s="21"/>
      <c r="S191" s="21"/>
      <c r="T191" s="21"/>
      <c r="U191" s="21"/>
      <c r="V191" s="21"/>
      <c r="W191" s="21"/>
      <c r="X191" s="21"/>
      <c r="Y191" s="21"/>
      <c r="Z191" s="21"/>
      <c r="AA191" s="21"/>
      <c r="AB191" s="21"/>
      <c r="AC191" s="21"/>
      <c r="AD191" s="21"/>
      <c r="AE191" s="21"/>
    </row>
    <row r="192" spans="1:31" ht="15.95" customHeight="1" x14ac:dyDescent="0.2">
      <c r="A192" s="6">
        <v>29</v>
      </c>
      <c r="D192" s="23" t="s">
        <v>353</v>
      </c>
      <c r="E192" s="41">
        <f>SUM(F192:AE192)</f>
        <v>188182349</v>
      </c>
      <c r="F192" s="42">
        <v>2651635</v>
      </c>
      <c r="G192" s="41">
        <v>4451608</v>
      </c>
      <c r="H192" s="41">
        <f>800460</f>
        <v>800460</v>
      </c>
      <c r="I192" s="41">
        <f>944265</f>
        <v>944265</v>
      </c>
      <c r="J192" s="41">
        <f>5459315</f>
        <v>5459315</v>
      </c>
      <c r="K192" s="41">
        <f>9119209</f>
        <v>9119209</v>
      </c>
      <c r="L192" s="41">
        <f>18983232</f>
        <v>18983232</v>
      </c>
      <c r="M192" s="41">
        <f>1209133</f>
        <v>1209133</v>
      </c>
      <c r="N192" s="41">
        <v>9846522</v>
      </c>
      <c r="O192" s="41">
        <f>2472902</f>
        <v>2472902</v>
      </c>
      <c r="P192" s="41">
        <v>25923209</v>
      </c>
      <c r="Q192" s="41">
        <f>7377837</f>
        <v>7377837</v>
      </c>
      <c r="R192" s="41">
        <f>389210</f>
        <v>389210</v>
      </c>
      <c r="S192" s="41">
        <v>123813</v>
      </c>
      <c r="T192" s="41">
        <f>12406965</f>
        <v>12406965</v>
      </c>
      <c r="U192" s="41">
        <f>21100253</f>
        <v>21100253</v>
      </c>
      <c r="V192" s="41">
        <f>1704060</f>
        <v>1704060</v>
      </c>
      <c r="W192" s="41">
        <f>7310514</f>
        <v>7310514</v>
      </c>
      <c r="X192" s="41">
        <f>27399459</f>
        <v>27399459</v>
      </c>
      <c r="Y192" s="41">
        <f>4695216</f>
        <v>4695216</v>
      </c>
      <c r="Z192" s="41">
        <f>458735</f>
        <v>458735</v>
      </c>
      <c r="AA192" s="41">
        <f>244446</f>
        <v>244446</v>
      </c>
      <c r="AB192" s="41">
        <v>9355888</v>
      </c>
      <c r="AC192" s="41">
        <f>12597138</f>
        <v>12597138</v>
      </c>
      <c r="AD192" s="41">
        <f>478512</f>
        <v>478512</v>
      </c>
      <c r="AE192" s="41">
        <f>678813</f>
        <v>678813</v>
      </c>
    </row>
    <row r="193" spans="1:31" ht="15.95" customHeight="1" x14ac:dyDescent="0.2">
      <c r="A193" s="6">
        <v>30</v>
      </c>
      <c r="D193" s="23" t="s">
        <v>354</v>
      </c>
      <c r="E193" s="41">
        <f>SUM(F193:AE193)</f>
        <v>6498124</v>
      </c>
      <c r="F193" s="42">
        <v>125000</v>
      </c>
      <c r="G193" s="41">
        <v>150463</v>
      </c>
      <c r="H193" s="41">
        <f>125000</f>
        <v>125000</v>
      </c>
      <c r="I193" s="41">
        <f>125000</f>
        <v>125000</v>
      </c>
      <c r="J193" s="41">
        <f>125000</f>
        <v>125000</v>
      </c>
      <c r="K193" s="41">
        <f>200000</f>
        <v>200000</v>
      </c>
      <c r="L193" s="41">
        <f>644497</f>
        <v>644497</v>
      </c>
      <c r="M193" s="41">
        <f>200000</f>
        <v>200000</v>
      </c>
      <c r="N193" s="41">
        <v>165500</v>
      </c>
      <c r="O193" s="41">
        <f>200000</f>
        <v>200000</v>
      </c>
      <c r="P193" s="41">
        <v>495000</v>
      </c>
      <c r="Q193" s="41">
        <f>125000</f>
        <v>125000</v>
      </c>
      <c r="R193" s="41">
        <f>125000</f>
        <v>125000</v>
      </c>
      <c r="S193" s="41">
        <v>120000</v>
      </c>
      <c r="T193" s="41">
        <f>644424</f>
        <v>644424</v>
      </c>
      <c r="U193" s="41">
        <f>633008</f>
        <v>633008</v>
      </c>
      <c r="V193" s="41">
        <f>125000</f>
        <v>125000</v>
      </c>
      <c r="W193" s="41">
        <f>219315</f>
        <v>219315</v>
      </c>
      <c r="X193" s="41">
        <f>821984</f>
        <v>821984</v>
      </c>
      <c r="Y193" s="41">
        <f>125000</f>
        <v>125000</v>
      </c>
      <c r="Z193" s="41">
        <f>125000</f>
        <v>125000</v>
      </c>
      <c r="AA193" s="41">
        <f>125000</f>
        <v>125000</v>
      </c>
      <c r="AB193" s="41">
        <v>134801</v>
      </c>
      <c r="AC193" s="41">
        <f>369132</f>
        <v>369132</v>
      </c>
      <c r="AD193" s="41">
        <f>125000</f>
        <v>125000</v>
      </c>
      <c r="AE193" s="41">
        <f>125000</f>
        <v>125000</v>
      </c>
    </row>
    <row r="194" spans="1:31" ht="15.95" customHeight="1" x14ac:dyDescent="0.2">
      <c r="A194" s="6">
        <v>31</v>
      </c>
      <c r="D194" s="23" t="s">
        <v>348</v>
      </c>
      <c r="E194" s="41">
        <f>SUM(F194:AE194)</f>
        <v>-8939455</v>
      </c>
      <c r="F194" s="42">
        <v>0</v>
      </c>
      <c r="G194" s="41">
        <v>0</v>
      </c>
      <c r="H194" s="41">
        <v>-22905</v>
      </c>
      <c r="I194" s="41">
        <v>-13483</v>
      </c>
      <c r="J194" s="41">
        <f>-22418-125000</f>
        <v>-147418</v>
      </c>
      <c r="K194" s="41">
        <v>-5503</v>
      </c>
      <c r="L194" s="41">
        <v>-5750</v>
      </c>
      <c r="M194" s="41">
        <f>-557-200000</f>
        <v>-200557</v>
      </c>
      <c r="N194" s="41">
        <v>0</v>
      </c>
      <c r="O194" s="41">
        <v>-94262</v>
      </c>
      <c r="P194" s="41">
        <v>0</v>
      </c>
      <c r="Q194" s="41">
        <v>-25566</v>
      </c>
      <c r="R194" s="41">
        <v>-88223</v>
      </c>
      <c r="S194" s="41">
        <v>0</v>
      </c>
      <c r="T194" s="41">
        <v>-252900</v>
      </c>
      <c r="U194" s="41">
        <v>-487082</v>
      </c>
      <c r="V194" s="41">
        <f>-30962-125000</f>
        <v>-155962</v>
      </c>
      <c r="W194" s="41">
        <v>-67319</v>
      </c>
      <c r="X194" s="41">
        <v>-5858914</v>
      </c>
      <c r="Y194" s="41">
        <v>-57098</v>
      </c>
      <c r="Z194" s="41">
        <v>-82620</v>
      </c>
      <c r="AA194" s="41">
        <v>-1348201</v>
      </c>
      <c r="AB194" s="41">
        <v>0</v>
      </c>
      <c r="AC194" s="41">
        <v>-1497</v>
      </c>
      <c r="AD194" s="41">
        <v>-22449</v>
      </c>
      <c r="AE194" s="41">
        <v>-1746</v>
      </c>
    </row>
    <row r="195" spans="1:31" ht="15.95" customHeight="1" x14ac:dyDescent="0.2">
      <c r="A195" s="6">
        <v>32</v>
      </c>
      <c r="D195" s="23" t="s">
        <v>349</v>
      </c>
      <c r="E195" s="41"/>
      <c r="F195" s="42"/>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row>
    <row r="196" spans="1:31" ht="15.95" customHeight="1" x14ac:dyDescent="0.2">
      <c r="A196" s="6">
        <v>33</v>
      </c>
      <c r="D196" s="66" t="s">
        <v>350</v>
      </c>
      <c r="E196" s="41"/>
      <c r="F196" s="42"/>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row>
    <row r="197" spans="1:31" ht="15.95" customHeight="1" x14ac:dyDescent="0.2">
      <c r="A197" s="6">
        <v>34</v>
      </c>
      <c r="D197" s="66" t="s">
        <v>351</v>
      </c>
      <c r="E197" s="41"/>
      <c r="F197" s="42"/>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row>
    <row r="198" spans="1:31" ht="15.95" customHeight="1" x14ac:dyDescent="0.2">
      <c r="A198" s="6">
        <v>35</v>
      </c>
      <c r="D198" s="23" t="s">
        <v>366</v>
      </c>
      <c r="E198" s="43">
        <f>SUM(F198:AE198)</f>
        <v>185741018</v>
      </c>
      <c r="F198" s="43">
        <f>SUM(F192:F197)</f>
        <v>2776635</v>
      </c>
      <c r="G198" s="43">
        <f t="shared" ref="G198:AE198" si="18">SUM(G192:G197)</f>
        <v>4602071</v>
      </c>
      <c r="H198" s="43">
        <f t="shared" si="18"/>
        <v>902555</v>
      </c>
      <c r="I198" s="43">
        <f t="shared" si="18"/>
        <v>1055782</v>
      </c>
      <c r="J198" s="43">
        <f t="shared" si="18"/>
        <v>5436897</v>
      </c>
      <c r="K198" s="43">
        <f t="shared" si="18"/>
        <v>9313706</v>
      </c>
      <c r="L198" s="43">
        <f t="shared" si="18"/>
        <v>19621979</v>
      </c>
      <c r="M198" s="43">
        <f t="shared" si="18"/>
        <v>1208576</v>
      </c>
      <c r="N198" s="43">
        <f t="shared" si="18"/>
        <v>10012022</v>
      </c>
      <c r="O198" s="43">
        <f t="shared" si="18"/>
        <v>2578640</v>
      </c>
      <c r="P198" s="43">
        <f t="shared" si="18"/>
        <v>26418209</v>
      </c>
      <c r="Q198" s="43">
        <f t="shared" si="18"/>
        <v>7477271</v>
      </c>
      <c r="R198" s="43">
        <f t="shared" si="18"/>
        <v>425987</v>
      </c>
      <c r="S198" s="43">
        <f t="shared" si="18"/>
        <v>243813</v>
      </c>
      <c r="T198" s="43">
        <f t="shared" si="18"/>
        <v>12798489</v>
      </c>
      <c r="U198" s="43">
        <f t="shared" si="18"/>
        <v>21246179</v>
      </c>
      <c r="V198" s="43">
        <f t="shared" si="18"/>
        <v>1673098</v>
      </c>
      <c r="W198" s="43">
        <f t="shared" si="18"/>
        <v>7462510</v>
      </c>
      <c r="X198" s="43">
        <f t="shared" si="18"/>
        <v>22362529</v>
      </c>
      <c r="Y198" s="43">
        <f t="shared" si="18"/>
        <v>4763118</v>
      </c>
      <c r="Z198" s="43">
        <f t="shared" si="18"/>
        <v>501115</v>
      </c>
      <c r="AA198" s="43">
        <f t="shared" si="18"/>
        <v>-978755</v>
      </c>
      <c r="AB198" s="43">
        <f t="shared" si="18"/>
        <v>9490689</v>
      </c>
      <c r="AC198" s="43">
        <f t="shared" si="18"/>
        <v>12964773</v>
      </c>
      <c r="AD198" s="43">
        <f t="shared" si="18"/>
        <v>581063</v>
      </c>
      <c r="AE198" s="43">
        <f t="shared" si="18"/>
        <v>802067</v>
      </c>
    </row>
    <row r="199" spans="1:31" ht="15.95" customHeight="1" x14ac:dyDescent="0.2">
      <c r="A199" s="6">
        <v>36</v>
      </c>
      <c r="D199" s="9" t="s">
        <v>352</v>
      </c>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row>
    <row r="200" spans="1:31" ht="15.95" customHeight="1" x14ac:dyDescent="0.2">
      <c r="A200" s="6">
        <v>37</v>
      </c>
      <c r="D200" s="23" t="s">
        <v>353</v>
      </c>
      <c r="E200" s="41">
        <f>SUM(F200:AE200)</f>
        <v>111626864</v>
      </c>
      <c r="F200" s="41">
        <f>F192-1920238</f>
        <v>731397</v>
      </c>
      <c r="G200" s="41">
        <f>G192-3268525</f>
        <v>1183083</v>
      </c>
      <c r="H200" s="41">
        <f>H192</f>
        <v>800460</v>
      </c>
      <c r="I200" s="41">
        <f>I192</f>
        <v>944265</v>
      </c>
      <c r="J200" s="41">
        <f>J192-2043189</f>
        <v>3416126</v>
      </c>
      <c r="K200" s="41">
        <f>K192-6615117</f>
        <v>2504092</v>
      </c>
      <c r="L200" s="41">
        <f>L192</f>
        <v>18983232</v>
      </c>
      <c r="M200" s="41">
        <f>M192-557</f>
        <v>1208576</v>
      </c>
      <c r="N200" s="41">
        <f>N192-7389659</f>
        <v>2456863</v>
      </c>
      <c r="O200" s="41">
        <f>O192-183164</f>
        <v>2289738</v>
      </c>
      <c r="P200" s="41">
        <f>P192-13228036</f>
        <v>12695173</v>
      </c>
      <c r="Q200" s="41">
        <f>Q192-5129477</f>
        <v>2248360</v>
      </c>
      <c r="R200" s="41">
        <f>R192</f>
        <v>389210</v>
      </c>
      <c r="S200" s="41">
        <f>S192-25646</f>
        <v>98167</v>
      </c>
      <c r="T200" s="41">
        <f>T192</f>
        <v>12406965</v>
      </c>
      <c r="U200" s="41">
        <f>U192-3423490</f>
        <v>17676763</v>
      </c>
      <c r="V200" s="41">
        <f>V192-30962</f>
        <v>1673098</v>
      </c>
      <c r="W200" s="41">
        <f>W192-2613057</f>
        <v>4697457</v>
      </c>
      <c r="X200" s="41">
        <f>X192-17355225</f>
        <v>10044234</v>
      </c>
      <c r="Y200" s="41">
        <f>Y192-584861</f>
        <v>4110355</v>
      </c>
      <c r="Z200" s="41">
        <f>Z192</f>
        <v>458735</v>
      </c>
      <c r="AA200" s="41">
        <v>0</v>
      </c>
      <c r="AB200" s="41">
        <f>AB192-8538435</f>
        <v>817453</v>
      </c>
      <c r="AC200" s="41">
        <f>AC192-3636555</f>
        <v>8960583</v>
      </c>
      <c r="AD200" s="41">
        <f>AD192-51591</f>
        <v>426921</v>
      </c>
      <c r="AE200" s="41">
        <f>AE192-273255</f>
        <v>405558</v>
      </c>
    </row>
    <row r="201" spans="1:31" ht="15.95" customHeight="1" x14ac:dyDescent="0.2">
      <c r="A201" s="6">
        <v>38</v>
      </c>
      <c r="D201" s="23" t="s">
        <v>354</v>
      </c>
      <c r="E201" s="41">
        <f>SUM(F201:AE201)</f>
        <v>1323040</v>
      </c>
      <c r="F201" s="41">
        <f>F193-125000</f>
        <v>0</v>
      </c>
      <c r="G201" s="41">
        <f>G193-150463</f>
        <v>0</v>
      </c>
      <c r="H201" s="41">
        <f>H193+H194</f>
        <v>102095</v>
      </c>
      <c r="I201" s="41">
        <f>I193+I194</f>
        <v>111517</v>
      </c>
      <c r="J201" s="41">
        <v>0</v>
      </c>
      <c r="K201" s="41">
        <v>0</v>
      </c>
      <c r="L201" s="41">
        <f>L193+L194</f>
        <v>638747</v>
      </c>
      <c r="M201" s="41">
        <f>M193-200000</f>
        <v>0</v>
      </c>
      <c r="N201" s="41">
        <f>N193-165500</f>
        <v>0</v>
      </c>
      <c r="O201" s="41">
        <f>O193+O194-105738</f>
        <v>0</v>
      </c>
      <c r="P201" s="41">
        <f>P193-495000</f>
        <v>0</v>
      </c>
      <c r="Q201" s="41">
        <f>Q193+Q194-99434</f>
        <v>0</v>
      </c>
      <c r="R201" s="41">
        <f>R193+R194</f>
        <v>36777</v>
      </c>
      <c r="S201" s="41">
        <f>S193+S194-120000</f>
        <v>0</v>
      </c>
      <c r="T201" s="41">
        <f>T193+T194</f>
        <v>391524</v>
      </c>
      <c r="U201" s="41">
        <f>U193+U194-145926</f>
        <v>0</v>
      </c>
      <c r="V201" s="41">
        <f>V193-125000</f>
        <v>0</v>
      </c>
      <c r="W201" s="41">
        <f>W193+W194-151996</f>
        <v>0</v>
      </c>
      <c r="X201" s="41">
        <f>X193-821984</f>
        <v>0</v>
      </c>
      <c r="Y201" s="41">
        <f>Y193+Y194-67902</f>
        <v>0</v>
      </c>
      <c r="Z201" s="41">
        <f>Z193+Z194</f>
        <v>42380</v>
      </c>
      <c r="AA201" s="41">
        <v>0</v>
      </c>
      <c r="AB201" s="41">
        <f>AB193-134801</f>
        <v>0</v>
      </c>
      <c r="AC201" s="41">
        <f>AC193+AC194-367635</f>
        <v>0</v>
      </c>
      <c r="AD201" s="41">
        <f>AD193+AD194-102551</f>
        <v>0</v>
      </c>
      <c r="AE201" s="41">
        <f>AE193+AE194-123254</f>
        <v>0</v>
      </c>
    </row>
    <row r="202" spans="1:31" ht="15.95" customHeight="1" thickBot="1" x14ac:dyDescent="0.25">
      <c r="A202" s="6">
        <v>39</v>
      </c>
      <c r="D202" s="44" t="s">
        <v>362</v>
      </c>
      <c r="E202" s="44">
        <f>SUM(F202:AE202)</f>
        <v>112949904</v>
      </c>
      <c r="F202" s="44">
        <f>SUM(F200:F201)</f>
        <v>731397</v>
      </c>
      <c r="G202" s="44">
        <f>SUM(G200:G201)</f>
        <v>1183083</v>
      </c>
      <c r="H202" s="44">
        <f>SUM(H200:H201)</f>
        <v>902555</v>
      </c>
      <c r="I202" s="44">
        <f>SUM(I200:I201)</f>
        <v>1055782</v>
      </c>
      <c r="J202" s="44">
        <f t="shared" ref="J202:AE202" si="19">SUM(J200:J201)</f>
        <v>3416126</v>
      </c>
      <c r="K202" s="44">
        <f t="shared" si="19"/>
        <v>2504092</v>
      </c>
      <c r="L202" s="44">
        <f t="shared" si="19"/>
        <v>19621979</v>
      </c>
      <c r="M202" s="44">
        <f t="shared" si="19"/>
        <v>1208576</v>
      </c>
      <c r="N202" s="44">
        <f t="shared" si="19"/>
        <v>2456863</v>
      </c>
      <c r="O202" s="44">
        <f t="shared" si="19"/>
        <v>2289738</v>
      </c>
      <c r="P202" s="44">
        <f t="shared" si="19"/>
        <v>12695173</v>
      </c>
      <c r="Q202" s="44">
        <f t="shared" si="19"/>
        <v>2248360</v>
      </c>
      <c r="R202" s="44">
        <f t="shared" si="19"/>
        <v>425987</v>
      </c>
      <c r="S202" s="44">
        <f t="shared" si="19"/>
        <v>98167</v>
      </c>
      <c r="T202" s="44">
        <f t="shared" si="19"/>
        <v>12798489</v>
      </c>
      <c r="U202" s="44">
        <f t="shared" si="19"/>
        <v>17676763</v>
      </c>
      <c r="V202" s="44">
        <f t="shared" si="19"/>
        <v>1673098</v>
      </c>
      <c r="W202" s="44">
        <f t="shared" si="19"/>
        <v>4697457</v>
      </c>
      <c r="X202" s="44">
        <f t="shared" si="19"/>
        <v>10044234</v>
      </c>
      <c r="Y202" s="44">
        <f t="shared" si="19"/>
        <v>4110355</v>
      </c>
      <c r="Z202" s="44">
        <f t="shared" si="19"/>
        <v>501115</v>
      </c>
      <c r="AA202" s="44">
        <f t="shared" si="19"/>
        <v>0</v>
      </c>
      <c r="AB202" s="44">
        <f t="shared" si="19"/>
        <v>817453</v>
      </c>
      <c r="AC202" s="44">
        <f t="shared" si="19"/>
        <v>8960583</v>
      </c>
      <c r="AD202" s="44">
        <f t="shared" si="19"/>
        <v>426921</v>
      </c>
      <c r="AE202" s="44">
        <f t="shared" si="19"/>
        <v>405558</v>
      </c>
    </row>
    <row r="203" spans="1:31" ht="51.75" hidden="1" thickTop="1" x14ac:dyDescent="0.2">
      <c r="A203" s="6">
        <v>40</v>
      </c>
      <c r="D203" s="45" t="s">
        <v>210</v>
      </c>
      <c r="E203" s="46">
        <f>SUM(F203:AE203)</f>
        <v>978755</v>
      </c>
      <c r="F203" s="46">
        <f t="shared" ref="F203:AE203" si="20">IF(((F190-F198)-(F190-F202))&lt;0,((F190-F198)-(F190-F202))-(F190-F198),((F190-F198)-(F190-F202)))</f>
        <v>0</v>
      </c>
      <c r="G203" s="46">
        <f t="shared" si="20"/>
        <v>0</v>
      </c>
      <c r="H203" s="46">
        <f t="shared" si="20"/>
        <v>0</v>
      </c>
      <c r="I203" s="46">
        <f t="shared" si="20"/>
        <v>0</v>
      </c>
      <c r="J203" s="46">
        <f t="shared" si="20"/>
        <v>0</v>
      </c>
      <c r="K203" s="46">
        <f t="shared" si="20"/>
        <v>0</v>
      </c>
      <c r="L203" s="46">
        <f t="shared" si="20"/>
        <v>0</v>
      </c>
      <c r="M203" s="46">
        <f t="shared" si="20"/>
        <v>0</v>
      </c>
      <c r="N203" s="46">
        <f t="shared" si="20"/>
        <v>0</v>
      </c>
      <c r="O203" s="46">
        <f t="shared" si="20"/>
        <v>0</v>
      </c>
      <c r="P203" s="46">
        <f t="shared" si="20"/>
        <v>0</v>
      </c>
      <c r="Q203" s="46">
        <f t="shared" si="20"/>
        <v>0</v>
      </c>
      <c r="R203" s="46">
        <f t="shared" si="20"/>
        <v>0</v>
      </c>
      <c r="S203" s="46">
        <f t="shared" si="20"/>
        <v>0</v>
      </c>
      <c r="T203" s="46">
        <f t="shared" si="20"/>
        <v>0</v>
      </c>
      <c r="U203" s="46">
        <f t="shared" si="20"/>
        <v>0</v>
      </c>
      <c r="V203" s="46">
        <f t="shared" si="20"/>
        <v>0</v>
      </c>
      <c r="W203" s="46">
        <f t="shared" si="20"/>
        <v>0</v>
      </c>
      <c r="X203" s="46">
        <f t="shared" si="20"/>
        <v>0</v>
      </c>
      <c r="Y203" s="46">
        <f t="shared" si="20"/>
        <v>0</v>
      </c>
      <c r="Z203" s="46">
        <f t="shared" si="20"/>
        <v>0</v>
      </c>
      <c r="AA203" s="46">
        <f t="shared" si="20"/>
        <v>978755</v>
      </c>
      <c r="AB203" s="46">
        <f t="shared" si="20"/>
        <v>0</v>
      </c>
      <c r="AC203" s="46">
        <f t="shared" si="20"/>
        <v>0</v>
      </c>
      <c r="AD203" s="46">
        <f t="shared" si="20"/>
        <v>0</v>
      </c>
      <c r="AE203" s="46">
        <f t="shared" si="20"/>
        <v>0</v>
      </c>
    </row>
    <row r="204" spans="1:31" ht="6.75" customHeight="1" thickTop="1" x14ac:dyDescent="0.2">
      <c r="D204" s="36"/>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row>
    <row r="205" spans="1:31" ht="15.95" customHeight="1" x14ac:dyDescent="0.2">
      <c r="A205" s="6">
        <v>41</v>
      </c>
      <c r="D205" s="47" t="s">
        <v>355</v>
      </c>
      <c r="E205" s="48">
        <f>SUM(F205:AE205)</f>
        <v>13852654</v>
      </c>
      <c r="F205" s="48">
        <f t="shared" ref="F205:AE205" si="21">F190-F202</f>
        <v>0</v>
      </c>
      <c r="G205" s="48">
        <f t="shared" si="21"/>
        <v>0</v>
      </c>
      <c r="H205" s="48">
        <f t="shared" si="21"/>
        <v>96685</v>
      </c>
      <c r="I205" s="48">
        <f t="shared" si="21"/>
        <v>4646</v>
      </c>
      <c r="J205" s="48">
        <f t="shared" si="21"/>
        <v>0</v>
      </c>
      <c r="K205" s="48">
        <f t="shared" si="21"/>
        <v>0</v>
      </c>
      <c r="L205" s="48">
        <f t="shared" si="21"/>
        <v>4326989</v>
      </c>
      <c r="M205" s="48">
        <f t="shared" si="21"/>
        <v>362904</v>
      </c>
      <c r="N205" s="48">
        <f t="shared" si="21"/>
        <v>0</v>
      </c>
      <c r="O205" s="48">
        <f t="shared" si="21"/>
        <v>0</v>
      </c>
      <c r="P205" s="48">
        <f t="shared" si="21"/>
        <v>0</v>
      </c>
      <c r="Q205" s="48">
        <f t="shared" si="21"/>
        <v>0</v>
      </c>
      <c r="R205" s="48">
        <f t="shared" si="21"/>
        <v>3059348</v>
      </c>
      <c r="S205" s="48">
        <f t="shared" si="21"/>
        <v>0</v>
      </c>
      <c r="T205" s="48">
        <f t="shared" si="21"/>
        <v>1630177</v>
      </c>
      <c r="U205" s="48">
        <f t="shared" si="21"/>
        <v>0</v>
      </c>
      <c r="V205" s="48">
        <f t="shared" si="21"/>
        <v>1048864</v>
      </c>
      <c r="W205" s="48">
        <f t="shared" si="21"/>
        <v>0</v>
      </c>
      <c r="X205" s="48">
        <f t="shared" si="21"/>
        <v>0</v>
      </c>
      <c r="Y205" s="48">
        <f t="shared" si="21"/>
        <v>0</v>
      </c>
      <c r="Z205" s="48">
        <f t="shared" si="21"/>
        <v>29817</v>
      </c>
      <c r="AA205" s="48">
        <f t="shared" si="21"/>
        <v>3293224</v>
      </c>
      <c r="AB205" s="48">
        <f t="shared" si="21"/>
        <v>0</v>
      </c>
      <c r="AC205" s="48">
        <f t="shared" si="21"/>
        <v>0</v>
      </c>
      <c r="AD205" s="48">
        <f t="shared" si="21"/>
        <v>0</v>
      </c>
      <c r="AE205" s="48">
        <f t="shared" si="21"/>
        <v>0</v>
      </c>
    </row>
    <row r="206" spans="1:31" customFormat="1" ht="20.25" customHeight="1" x14ac:dyDescent="0.25">
      <c r="A206" s="6">
        <v>42</v>
      </c>
      <c r="D206" s="70" t="s">
        <v>356</v>
      </c>
    </row>
    <row r="207" spans="1:31" customFormat="1" ht="27.75" customHeight="1" x14ac:dyDescent="0.25">
      <c r="A207" s="6">
        <v>43</v>
      </c>
      <c r="D207" s="71" t="s">
        <v>357</v>
      </c>
    </row>
    <row r="208" spans="1:31" customFormat="1" ht="27.75" customHeight="1" x14ac:dyDescent="0.25">
      <c r="A208" s="6">
        <v>44</v>
      </c>
      <c r="D208" s="71" t="s">
        <v>358</v>
      </c>
    </row>
    <row r="209" spans="1:31" customFormat="1" ht="15.95" customHeight="1" x14ac:dyDescent="0.25">
      <c r="A209" s="6">
        <v>45</v>
      </c>
      <c r="D209" s="70" t="s">
        <v>359</v>
      </c>
      <c r="E209" s="72"/>
      <c r="F209" s="72"/>
      <c r="G209" s="72"/>
      <c r="H209" s="72"/>
      <c r="I209" s="72"/>
      <c r="J209" s="72"/>
      <c r="K209" s="72"/>
      <c r="L209" s="72"/>
      <c r="M209" s="72"/>
      <c r="N209" s="72"/>
      <c r="O209" s="72"/>
      <c r="P209" s="72"/>
      <c r="Q209" s="72"/>
      <c r="R209" s="72"/>
      <c r="S209" s="72"/>
      <c r="T209" s="72"/>
      <c r="U209" s="72"/>
      <c r="V209" s="72"/>
      <c r="W209" s="72"/>
      <c r="X209" s="72"/>
      <c r="Y209" s="72"/>
      <c r="Z209" s="72"/>
      <c r="AA209" s="72"/>
      <c r="AB209" s="72"/>
      <c r="AC209" s="72"/>
      <c r="AD209" s="72"/>
      <c r="AE209" s="72"/>
    </row>
    <row r="210" spans="1:31" s="67" customFormat="1" ht="28.5" customHeight="1" x14ac:dyDescent="0.25">
      <c r="A210" s="68">
        <v>46</v>
      </c>
      <c r="D210" s="73" t="s">
        <v>360</v>
      </c>
      <c r="E210" s="74"/>
      <c r="F210" s="74"/>
      <c r="G210" s="74"/>
      <c r="H210" s="74"/>
      <c r="I210" s="74"/>
      <c r="J210" s="74"/>
      <c r="K210" s="74"/>
      <c r="L210" s="74"/>
      <c r="M210" s="74"/>
      <c r="N210" s="74"/>
      <c r="O210" s="74"/>
      <c r="P210" s="74"/>
      <c r="Q210" s="74"/>
      <c r="R210" s="74"/>
      <c r="S210" s="74"/>
      <c r="T210" s="74"/>
      <c r="U210" s="74"/>
      <c r="V210" s="74"/>
      <c r="W210" s="74"/>
      <c r="X210" s="74"/>
      <c r="Y210" s="74"/>
      <c r="Z210" s="74"/>
      <c r="AA210" s="74"/>
      <c r="AB210" s="74"/>
      <c r="AC210" s="74"/>
      <c r="AD210" s="74"/>
      <c r="AE210" s="74"/>
    </row>
    <row r="211" spans="1:31" s="69" customFormat="1" ht="29.25" customHeight="1" x14ac:dyDescent="0.2">
      <c r="A211" s="6">
        <v>47</v>
      </c>
      <c r="B211" s="68"/>
      <c r="C211" s="68"/>
      <c r="D211" s="1" t="s">
        <v>361</v>
      </c>
      <c r="E211" s="1"/>
      <c r="F211" s="1"/>
      <c r="G211" s="1"/>
      <c r="H211" s="59"/>
      <c r="I211" s="59"/>
      <c r="J211" s="59"/>
      <c r="K211" s="59"/>
      <c r="L211" s="59"/>
      <c r="M211" s="59"/>
      <c r="N211" s="59"/>
      <c r="O211" s="59"/>
      <c r="P211" s="59"/>
      <c r="Q211" s="59"/>
      <c r="R211" s="59"/>
      <c r="S211" s="59"/>
      <c r="T211" s="59"/>
      <c r="U211" s="59"/>
      <c r="V211" s="59"/>
      <c r="W211" s="59"/>
      <c r="X211" s="59"/>
      <c r="Y211" s="59"/>
      <c r="Z211" s="59"/>
      <c r="AA211" s="59"/>
      <c r="AB211" s="59"/>
      <c r="AC211" s="59"/>
      <c r="AD211" s="59"/>
      <c r="AE211" s="59"/>
    </row>
    <row r="212" spans="1:31" ht="15.95" customHeight="1" x14ac:dyDescent="0.2">
      <c r="A212" s="6">
        <v>48</v>
      </c>
      <c r="D212" s="49" t="s">
        <v>211</v>
      </c>
      <c r="E212" s="37">
        <f t="shared" ref="E212:E221" si="22">SUM(F212:I212)</f>
        <v>0</v>
      </c>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row>
    <row r="213" spans="1:31" ht="15.95" customHeight="1" x14ac:dyDescent="0.2">
      <c r="A213" s="6">
        <v>49</v>
      </c>
      <c r="D213" s="49" t="s">
        <v>212</v>
      </c>
      <c r="E213" s="37">
        <f t="shared" si="22"/>
        <v>0</v>
      </c>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row>
    <row r="214" spans="1:31" ht="15.95" customHeight="1" x14ac:dyDescent="0.2">
      <c r="A214" s="6">
        <v>50</v>
      </c>
      <c r="D214" s="49" t="s">
        <v>213</v>
      </c>
      <c r="E214" s="37">
        <f t="shared" si="22"/>
        <v>0</v>
      </c>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row>
    <row r="215" spans="1:31" ht="15.95" customHeight="1" x14ac:dyDescent="0.2">
      <c r="A215" s="6">
        <v>51</v>
      </c>
      <c r="D215" s="49" t="s">
        <v>214</v>
      </c>
      <c r="E215" s="37">
        <f t="shared" si="22"/>
        <v>0</v>
      </c>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row>
    <row r="216" spans="1:31" ht="15.95" customHeight="1" x14ac:dyDescent="0.2">
      <c r="A216" s="6">
        <v>52</v>
      </c>
      <c r="D216" s="49" t="s">
        <v>215</v>
      </c>
      <c r="E216" s="37">
        <f t="shared" si="22"/>
        <v>0</v>
      </c>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row>
    <row r="217" spans="1:31" ht="15.95" customHeight="1" x14ac:dyDescent="0.2">
      <c r="A217" s="6">
        <v>53</v>
      </c>
      <c r="D217" s="23" t="s">
        <v>216</v>
      </c>
      <c r="E217" s="37">
        <f t="shared" si="22"/>
        <v>0</v>
      </c>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row>
    <row r="218" spans="1:31" ht="15.75" customHeight="1" x14ac:dyDescent="0.2">
      <c r="A218" s="6">
        <v>54</v>
      </c>
      <c r="D218" s="23" t="s">
        <v>367</v>
      </c>
      <c r="E218" s="37">
        <f>SUM(F218:I218)</f>
        <v>0</v>
      </c>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row>
    <row r="219" spans="1:31" ht="15.95" customHeight="1" x14ac:dyDescent="0.2">
      <c r="A219" s="6">
        <v>55</v>
      </c>
      <c r="D219" s="50" t="s">
        <v>217</v>
      </c>
      <c r="E219" s="37">
        <f t="shared" si="22"/>
        <v>0</v>
      </c>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row>
    <row r="220" spans="1:31" ht="15.95" customHeight="1" x14ac:dyDescent="0.2">
      <c r="A220" s="6">
        <v>56</v>
      </c>
      <c r="D220" s="50" t="s">
        <v>218</v>
      </c>
      <c r="E220" s="37">
        <f t="shared" si="22"/>
        <v>0</v>
      </c>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row>
    <row r="221" spans="1:31" ht="15.95" customHeight="1" x14ac:dyDescent="0.2">
      <c r="A221" s="6">
        <v>57</v>
      </c>
      <c r="D221" s="50" t="s">
        <v>219</v>
      </c>
      <c r="E221" s="37">
        <f t="shared" si="22"/>
        <v>0</v>
      </c>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row>
    <row r="222" spans="1:31" ht="30.75" customHeight="1" thickBot="1" x14ac:dyDescent="0.25">
      <c r="A222" s="6">
        <v>58</v>
      </c>
      <c r="D222" s="26" t="s">
        <v>368</v>
      </c>
      <c r="E222" s="51">
        <f>SUM(F222:I222)</f>
        <v>0</v>
      </c>
      <c r="F222" s="51">
        <f>SUM(F212:F218)</f>
        <v>0</v>
      </c>
      <c r="G222" s="51">
        <f>SUM(G212:G218)</f>
        <v>0</v>
      </c>
      <c r="H222" s="51">
        <f>SUM(H212:H218)</f>
        <v>0</v>
      </c>
      <c r="I222" s="51">
        <f>SUM(I212:I218)</f>
        <v>0</v>
      </c>
      <c r="J222" s="51">
        <f t="shared" ref="J222:AE222" si="23">SUM(J212:J218)</f>
        <v>0</v>
      </c>
      <c r="K222" s="51">
        <f t="shared" si="23"/>
        <v>0</v>
      </c>
      <c r="L222" s="51">
        <f t="shared" si="23"/>
        <v>0</v>
      </c>
      <c r="M222" s="51">
        <f t="shared" si="23"/>
        <v>0</v>
      </c>
      <c r="N222" s="51">
        <f t="shared" si="23"/>
        <v>0</v>
      </c>
      <c r="O222" s="51">
        <f t="shared" si="23"/>
        <v>0</v>
      </c>
      <c r="P222" s="51">
        <f t="shared" si="23"/>
        <v>0</v>
      </c>
      <c r="Q222" s="51">
        <f t="shared" si="23"/>
        <v>0</v>
      </c>
      <c r="R222" s="51">
        <f t="shared" si="23"/>
        <v>0</v>
      </c>
      <c r="S222" s="51">
        <f t="shared" si="23"/>
        <v>0</v>
      </c>
      <c r="T222" s="51">
        <f t="shared" si="23"/>
        <v>0</v>
      </c>
      <c r="U222" s="51">
        <f t="shared" si="23"/>
        <v>0</v>
      </c>
      <c r="V222" s="51">
        <f t="shared" si="23"/>
        <v>0</v>
      </c>
      <c r="W222" s="51">
        <f t="shared" si="23"/>
        <v>0</v>
      </c>
      <c r="X222" s="51">
        <f t="shared" si="23"/>
        <v>0</v>
      </c>
      <c r="Y222" s="51">
        <f t="shared" si="23"/>
        <v>0</v>
      </c>
      <c r="Z222" s="51">
        <f t="shared" si="23"/>
        <v>0</v>
      </c>
      <c r="AA222" s="51">
        <f t="shared" si="23"/>
        <v>0</v>
      </c>
      <c r="AB222" s="51">
        <f t="shared" si="23"/>
        <v>0</v>
      </c>
      <c r="AC222" s="51">
        <f t="shared" si="23"/>
        <v>0</v>
      </c>
      <c r="AD222" s="51">
        <f t="shared" si="23"/>
        <v>0</v>
      </c>
      <c r="AE222" s="51">
        <f t="shared" si="23"/>
        <v>0</v>
      </c>
    </row>
    <row r="223" spans="1:31" ht="15.95" customHeight="1" thickTop="1" x14ac:dyDescent="0.2">
      <c r="A223" s="6">
        <v>59</v>
      </c>
      <c r="D223" s="23" t="s">
        <v>369</v>
      </c>
      <c r="E223" s="52">
        <f>SUM(F223:I223)</f>
        <v>0</v>
      </c>
      <c r="F223" s="52">
        <f>SUM(F215:F218)</f>
        <v>0</v>
      </c>
      <c r="G223" s="52">
        <f>SUM(G215:G218)</f>
        <v>0</v>
      </c>
      <c r="H223" s="52">
        <f>SUM(H215:H218)</f>
        <v>0</v>
      </c>
      <c r="I223" s="52">
        <f>SUM(I215:I218)</f>
        <v>0</v>
      </c>
      <c r="J223" s="52">
        <f t="shared" ref="J223:AE223" si="24">SUM(J215:J218)</f>
        <v>0</v>
      </c>
      <c r="K223" s="52">
        <f t="shared" si="24"/>
        <v>0</v>
      </c>
      <c r="L223" s="52">
        <f t="shared" si="24"/>
        <v>0</v>
      </c>
      <c r="M223" s="52">
        <f t="shared" si="24"/>
        <v>0</v>
      </c>
      <c r="N223" s="52">
        <f t="shared" si="24"/>
        <v>0</v>
      </c>
      <c r="O223" s="52">
        <f t="shared" si="24"/>
        <v>0</v>
      </c>
      <c r="P223" s="52">
        <f t="shared" si="24"/>
        <v>0</v>
      </c>
      <c r="Q223" s="52">
        <f t="shared" si="24"/>
        <v>0</v>
      </c>
      <c r="R223" s="52">
        <f t="shared" si="24"/>
        <v>0</v>
      </c>
      <c r="S223" s="52">
        <f t="shared" si="24"/>
        <v>0</v>
      </c>
      <c r="T223" s="52">
        <f t="shared" si="24"/>
        <v>0</v>
      </c>
      <c r="U223" s="52">
        <f t="shared" si="24"/>
        <v>0</v>
      </c>
      <c r="V223" s="52">
        <f t="shared" si="24"/>
        <v>0</v>
      </c>
      <c r="W223" s="52">
        <f t="shared" si="24"/>
        <v>0</v>
      </c>
      <c r="X223" s="52">
        <f t="shared" si="24"/>
        <v>0</v>
      </c>
      <c r="Y223" s="52">
        <f t="shared" si="24"/>
        <v>0</v>
      </c>
      <c r="Z223" s="52">
        <f t="shared" si="24"/>
        <v>0</v>
      </c>
      <c r="AA223" s="52">
        <f t="shared" si="24"/>
        <v>0</v>
      </c>
      <c r="AB223" s="52">
        <f t="shared" si="24"/>
        <v>0</v>
      </c>
      <c r="AC223" s="52">
        <f t="shared" si="24"/>
        <v>0</v>
      </c>
      <c r="AD223" s="52">
        <f t="shared" si="24"/>
        <v>0</v>
      </c>
      <c r="AE223" s="52">
        <f t="shared" si="24"/>
        <v>0</v>
      </c>
    </row>
    <row r="224" spans="1:31" ht="15.95" customHeight="1" x14ac:dyDescent="0.2">
      <c r="A224" s="6">
        <v>60</v>
      </c>
      <c r="D224" s="53" t="s">
        <v>220</v>
      </c>
      <c r="E224" s="54" t="e">
        <f>E223/E222</f>
        <v>#DIV/0!</v>
      </c>
      <c r="F224" s="54" t="e">
        <f>F223/F222</f>
        <v>#DIV/0!</v>
      </c>
      <c r="G224" s="54" t="e">
        <f>G223/G222</f>
        <v>#DIV/0!</v>
      </c>
      <c r="H224" s="54" t="e">
        <f>H223/H222</f>
        <v>#DIV/0!</v>
      </c>
      <c r="I224" s="54" t="e">
        <f>I223/I222</f>
        <v>#DIV/0!</v>
      </c>
      <c r="J224" s="54" t="e">
        <f t="shared" ref="J224:AE224" si="25">J223/J222</f>
        <v>#DIV/0!</v>
      </c>
      <c r="K224" s="54" t="e">
        <f t="shared" si="25"/>
        <v>#DIV/0!</v>
      </c>
      <c r="L224" s="54" t="e">
        <f t="shared" si="25"/>
        <v>#DIV/0!</v>
      </c>
      <c r="M224" s="54" t="e">
        <f t="shared" si="25"/>
        <v>#DIV/0!</v>
      </c>
      <c r="N224" s="54" t="e">
        <f t="shared" si="25"/>
        <v>#DIV/0!</v>
      </c>
      <c r="O224" s="54" t="e">
        <f t="shared" si="25"/>
        <v>#DIV/0!</v>
      </c>
      <c r="P224" s="54" t="e">
        <f t="shared" si="25"/>
        <v>#DIV/0!</v>
      </c>
      <c r="Q224" s="54" t="e">
        <f t="shared" si="25"/>
        <v>#DIV/0!</v>
      </c>
      <c r="R224" s="54" t="e">
        <f t="shared" si="25"/>
        <v>#DIV/0!</v>
      </c>
      <c r="S224" s="54" t="e">
        <f t="shared" si="25"/>
        <v>#DIV/0!</v>
      </c>
      <c r="T224" s="54" t="e">
        <f t="shared" si="25"/>
        <v>#DIV/0!</v>
      </c>
      <c r="U224" s="54" t="e">
        <f t="shared" si="25"/>
        <v>#DIV/0!</v>
      </c>
      <c r="V224" s="54" t="e">
        <f t="shared" si="25"/>
        <v>#DIV/0!</v>
      </c>
      <c r="W224" s="54" t="e">
        <f t="shared" si="25"/>
        <v>#DIV/0!</v>
      </c>
      <c r="X224" s="54" t="e">
        <f t="shared" si="25"/>
        <v>#DIV/0!</v>
      </c>
      <c r="Y224" s="54" t="e">
        <f t="shared" si="25"/>
        <v>#DIV/0!</v>
      </c>
      <c r="Z224" s="54" t="e">
        <f t="shared" si="25"/>
        <v>#DIV/0!</v>
      </c>
      <c r="AA224" s="54" t="e">
        <f t="shared" si="25"/>
        <v>#DIV/0!</v>
      </c>
      <c r="AB224" s="54" t="e">
        <f t="shared" si="25"/>
        <v>#DIV/0!</v>
      </c>
      <c r="AC224" s="54" t="e">
        <f t="shared" si="25"/>
        <v>#DIV/0!</v>
      </c>
      <c r="AD224" s="54" t="e">
        <f t="shared" si="25"/>
        <v>#DIV/0!</v>
      </c>
      <c r="AE224" s="54" t="e">
        <f t="shared" si="25"/>
        <v>#DIV/0!</v>
      </c>
    </row>
    <row r="225" spans="1:11" ht="9" customHeight="1" x14ac:dyDescent="0.2">
      <c r="D225" s="55"/>
      <c r="E225" s="56"/>
      <c r="F225" s="57"/>
      <c r="G225" s="57"/>
      <c r="H225" s="57"/>
      <c r="I225" s="57"/>
      <c r="J225" s="55"/>
      <c r="K225" s="58"/>
    </row>
    <row r="226" spans="1:11" ht="57" customHeight="1" x14ac:dyDescent="0.2">
      <c r="A226" s="38">
        <v>61</v>
      </c>
      <c r="B226" s="38"/>
      <c r="D226" s="2" t="s">
        <v>342</v>
      </c>
      <c r="E226" s="2"/>
      <c r="F226" s="2"/>
      <c r="G226" s="2"/>
      <c r="H226" s="64"/>
      <c r="I226" s="64"/>
      <c r="J226" s="64"/>
      <c r="K226" s="58"/>
    </row>
    <row r="227" spans="1:11" x14ac:dyDescent="0.2">
      <c r="D227" s="36" t="s">
        <v>343</v>
      </c>
      <c r="E227" s="37"/>
      <c r="F227" s="22"/>
      <c r="G227" s="22"/>
      <c r="H227" s="22"/>
      <c r="I227" s="22"/>
      <c r="J227" s="55"/>
      <c r="K227" s="58"/>
    </row>
    <row r="228" spans="1:11" x14ac:dyDescent="0.2">
      <c r="D228" s="55"/>
      <c r="E228" s="60"/>
      <c r="F228" s="15"/>
      <c r="G228" s="15"/>
      <c r="H228" s="15"/>
      <c r="I228" s="15"/>
      <c r="J228" s="55"/>
    </row>
    <row r="229" spans="1:11" x14ac:dyDescent="0.2">
      <c r="D229" s="55"/>
      <c r="E229" s="60"/>
      <c r="F229" s="15"/>
      <c r="G229" s="15"/>
      <c r="H229" s="15"/>
      <c r="I229" s="15"/>
      <c r="J229" s="55"/>
    </row>
    <row r="230" spans="1:11" ht="32.25" customHeight="1" x14ac:dyDescent="0.2">
      <c r="D230" s="59"/>
      <c r="E230" s="60"/>
      <c r="F230" s="15"/>
      <c r="G230" s="15"/>
      <c r="H230" s="15"/>
      <c r="I230" s="15"/>
      <c r="J230" s="55"/>
    </row>
    <row r="231" spans="1:11" x14ac:dyDescent="0.2">
      <c r="D231" s="55"/>
      <c r="E231" s="60"/>
      <c r="F231" s="15"/>
      <c r="G231" s="15"/>
      <c r="H231" s="15"/>
      <c r="I231" s="15"/>
      <c r="J231" s="55"/>
    </row>
    <row r="232" spans="1:11" ht="48" customHeight="1" x14ac:dyDescent="0.2">
      <c r="D232" s="59"/>
      <c r="E232" s="60"/>
      <c r="F232" s="15"/>
      <c r="G232" s="15"/>
      <c r="H232" s="15"/>
      <c r="I232" s="15"/>
      <c r="J232" s="55"/>
    </row>
    <row r="233" spans="1:11" x14ac:dyDescent="0.2">
      <c r="D233" s="59"/>
      <c r="E233" s="60"/>
      <c r="F233" s="15"/>
      <c r="G233" s="15"/>
      <c r="H233" s="15"/>
      <c r="I233" s="15"/>
      <c r="J233" s="55"/>
    </row>
    <row r="234" spans="1:11" x14ac:dyDescent="0.2">
      <c r="D234" s="55"/>
      <c r="E234" s="60"/>
      <c r="F234" s="15"/>
      <c r="G234" s="15"/>
      <c r="H234" s="15"/>
      <c r="I234" s="15"/>
      <c r="J234" s="55"/>
    </row>
    <row r="235" spans="1:11" x14ac:dyDescent="0.2">
      <c r="D235" s="55"/>
      <c r="E235" s="60"/>
      <c r="F235" s="15"/>
      <c r="G235" s="15"/>
      <c r="H235" s="15"/>
      <c r="I235" s="15"/>
      <c r="J235" s="55"/>
    </row>
    <row r="236" spans="1:11" x14ac:dyDescent="0.2">
      <c r="D236" s="55"/>
      <c r="E236" s="60"/>
      <c r="F236" s="15"/>
      <c r="G236" s="15"/>
      <c r="H236" s="15"/>
      <c r="I236" s="15"/>
      <c r="J236" s="55"/>
    </row>
    <row r="237" spans="1:11" ht="18" customHeight="1" x14ac:dyDescent="0.2">
      <c r="D237" s="55"/>
      <c r="E237" s="60"/>
      <c r="F237" s="15"/>
      <c r="G237" s="15"/>
      <c r="H237" s="15"/>
      <c r="I237" s="15"/>
      <c r="J237" s="55"/>
    </row>
    <row r="238" spans="1:11" x14ac:dyDescent="0.2">
      <c r="D238" s="55"/>
      <c r="E238" s="60"/>
      <c r="F238" s="15"/>
      <c r="G238" s="15"/>
      <c r="H238" s="15"/>
      <c r="I238" s="15"/>
      <c r="J238" s="55"/>
    </row>
    <row r="239" spans="1:11" x14ac:dyDescent="0.2">
      <c r="D239" s="55"/>
      <c r="E239" s="60"/>
      <c r="F239" s="15"/>
      <c r="G239" s="15"/>
      <c r="H239" s="15"/>
      <c r="I239" s="15"/>
      <c r="J239" s="55"/>
    </row>
    <row r="240" spans="1:11" x14ac:dyDescent="0.2">
      <c r="D240" s="55"/>
      <c r="E240" s="60"/>
      <c r="F240" s="15"/>
      <c r="G240" s="15"/>
      <c r="H240" s="15"/>
      <c r="I240" s="15"/>
      <c r="J240" s="55"/>
    </row>
    <row r="241" spans="4:10" x14ac:dyDescent="0.2">
      <c r="D241" s="55"/>
      <c r="E241" s="60"/>
      <c r="F241" s="15"/>
      <c r="G241" s="15"/>
      <c r="H241" s="15"/>
      <c r="I241" s="15"/>
      <c r="J241" s="55"/>
    </row>
    <row r="242" spans="4:10" x14ac:dyDescent="0.2">
      <c r="D242" s="55"/>
      <c r="E242" s="60"/>
      <c r="F242" s="15"/>
      <c r="G242" s="15"/>
      <c r="H242" s="15"/>
      <c r="I242" s="15"/>
      <c r="J242" s="55"/>
    </row>
    <row r="243" spans="4:10" x14ac:dyDescent="0.2">
      <c r="D243" s="55"/>
      <c r="E243" s="60"/>
      <c r="F243" s="15"/>
      <c r="G243" s="15"/>
      <c r="H243" s="15"/>
      <c r="I243" s="15"/>
      <c r="J243" s="55"/>
    </row>
    <row r="244" spans="4:10" x14ac:dyDescent="0.2">
      <c r="D244" s="55"/>
      <c r="E244" s="60"/>
      <c r="F244" s="15"/>
      <c r="G244" s="15"/>
      <c r="H244" s="15"/>
      <c r="I244" s="15"/>
      <c r="J244" s="55"/>
    </row>
    <row r="245" spans="4:10" x14ac:dyDescent="0.2">
      <c r="D245" s="55"/>
      <c r="E245" s="60"/>
      <c r="F245" s="15"/>
      <c r="G245" s="15"/>
      <c r="H245" s="15"/>
      <c r="I245" s="15"/>
      <c r="J245" s="55"/>
    </row>
    <row r="246" spans="4:10" x14ac:dyDescent="0.2">
      <c r="D246" s="55"/>
      <c r="E246" s="60"/>
      <c r="F246" s="15"/>
      <c r="G246" s="15"/>
      <c r="H246" s="15"/>
      <c r="I246" s="15"/>
      <c r="J246" s="55"/>
    </row>
    <row r="247" spans="4:10" x14ac:dyDescent="0.2">
      <c r="D247" s="55"/>
      <c r="E247" s="60"/>
      <c r="F247" s="15"/>
      <c r="G247" s="15"/>
      <c r="H247" s="15"/>
      <c r="I247" s="15"/>
      <c r="J247" s="55"/>
    </row>
    <row r="248" spans="4:10" x14ac:dyDescent="0.2">
      <c r="D248" s="55"/>
      <c r="E248" s="60"/>
      <c r="F248" s="15"/>
      <c r="G248" s="15"/>
      <c r="H248" s="15"/>
      <c r="I248" s="15"/>
      <c r="J248" s="55"/>
    </row>
    <row r="249" spans="4:10" x14ac:dyDescent="0.2">
      <c r="D249" s="55"/>
      <c r="E249" s="60"/>
      <c r="F249" s="15"/>
      <c r="G249" s="15"/>
      <c r="H249" s="15"/>
      <c r="I249" s="15"/>
      <c r="J249" s="55"/>
    </row>
    <row r="250" spans="4:10" x14ac:dyDescent="0.2">
      <c r="D250" s="55"/>
      <c r="E250" s="60"/>
      <c r="F250" s="15"/>
      <c r="G250" s="15"/>
      <c r="H250" s="15"/>
      <c r="I250" s="15"/>
      <c r="J250" s="55"/>
    </row>
    <row r="251" spans="4:10" x14ac:dyDescent="0.2">
      <c r="D251" s="55"/>
      <c r="E251" s="60"/>
      <c r="F251" s="15"/>
      <c r="G251" s="15"/>
      <c r="H251" s="15"/>
      <c r="I251" s="15"/>
      <c r="J251" s="55"/>
    </row>
    <row r="252" spans="4:10" x14ac:dyDescent="0.2">
      <c r="D252" s="55"/>
      <c r="E252" s="60"/>
      <c r="F252" s="15"/>
      <c r="G252" s="15"/>
      <c r="H252" s="15"/>
      <c r="I252" s="15"/>
      <c r="J252" s="55"/>
    </row>
    <row r="253" spans="4:10" x14ac:dyDescent="0.2">
      <c r="D253" s="55"/>
      <c r="E253" s="60"/>
      <c r="F253" s="15"/>
      <c r="G253" s="15"/>
      <c r="H253" s="15"/>
      <c r="I253" s="15"/>
      <c r="J253" s="55"/>
    </row>
    <row r="254" spans="4:10" x14ac:dyDescent="0.2">
      <c r="D254" s="55"/>
      <c r="E254" s="60"/>
      <c r="F254" s="15"/>
      <c r="G254" s="15"/>
      <c r="H254" s="15"/>
      <c r="I254" s="15"/>
      <c r="J254" s="55"/>
    </row>
    <row r="255" spans="4:10" x14ac:dyDescent="0.2">
      <c r="D255" s="55"/>
      <c r="E255" s="60"/>
      <c r="F255" s="15"/>
      <c r="G255" s="15"/>
      <c r="H255" s="15"/>
      <c r="I255" s="15"/>
      <c r="J255" s="55"/>
    </row>
    <row r="256" spans="4:10" x14ac:dyDescent="0.2">
      <c r="D256" s="55"/>
      <c r="E256" s="60"/>
      <c r="F256" s="15"/>
      <c r="G256" s="15"/>
      <c r="H256" s="15"/>
      <c r="I256" s="15"/>
      <c r="J256" s="55"/>
    </row>
    <row r="257" spans="4:10" x14ac:dyDescent="0.2">
      <c r="D257" s="55"/>
      <c r="E257" s="60"/>
      <c r="F257" s="15"/>
      <c r="G257" s="15"/>
      <c r="H257" s="15"/>
      <c r="I257" s="15"/>
      <c r="J257" s="55"/>
    </row>
  </sheetData>
  <mergeCells count="7">
    <mergeCell ref="E1:R1"/>
    <mergeCell ref="A2:I2"/>
    <mergeCell ref="A3:I3"/>
    <mergeCell ref="A4:D4"/>
    <mergeCell ref="D226:G226"/>
    <mergeCell ref="D191:J191"/>
    <mergeCell ref="D211:G211"/>
  </mergeCells>
  <pageMargins left="0.45" right="0.21" top="0.31" bottom="0.4" header="0.3" footer="0.18"/>
  <pageSetup paperSize="5" scale="47" fitToWidth="0" orientation="landscape" r:id="rId1"/>
  <headerFooter>
    <oddFooter>&amp;L&amp;9&amp;Z&amp;F\&amp;A&amp;R&amp;9Page &amp;P of &amp;N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14-15A Estimates (ATE)</vt:lpstr>
      <vt:lpstr>'ROPS 14-15A Estimates (ATE)'!Print_Area</vt:lpstr>
      <vt:lpstr>'ROPS 14-15A Estimates (ATE)'!Print_Titles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Schwenk (C9412)</dc:creator>
  <cp:lastModifiedBy>David Georgiades (G0470)</cp:lastModifiedBy>
  <cp:lastPrinted>2014-04-01T23:54:43Z</cp:lastPrinted>
  <dcterms:created xsi:type="dcterms:W3CDTF">2014-04-01T20:54:50Z</dcterms:created>
  <dcterms:modified xsi:type="dcterms:W3CDTF">2014-04-07T19:18:36Z</dcterms:modified>
</cp:coreProperties>
</file>